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420"/>
  <workbookPr/>
  <mc:AlternateContent xmlns:mc="http://schemas.openxmlformats.org/markup-compatibility/2006">
    <mc:Choice Requires="x15">
      <x15ac:absPath xmlns:x15ac="http://schemas.microsoft.com/office/spreadsheetml/2010/11/ac" url="/Users/oonalahtinen/Desktop/"/>
    </mc:Choice>
  </mc:AlternateContent>
  <xr:revisionPtr revIDLastSave="0" documentId="13_ncr:1_{2998A5CB-27B8-6D47-93D3-63098B2F4BFF}" xr6:coauthVersionLast="47" xr6:coauthVersionMax="47" xr10:uidLastSave="{00000000-0000-0000-0000-000000000000}"/>
  <workbookProtection workbookAlgorithmName="SHA-512" workbookHashValue="3JUH/wt7RQN4MM289YCUi5WTEB2jFD9sYQ+ENVqkgOeK/9c52ViSasnzFMH+m/ZjoT+D/fnaQ2g2XPlZEN5Z8Q==" workbookSaltValue="NZPvKk4leFc99rR2ZUvUcQ==" workbookSpinCount="100000" lockStructure="1"/>
  <bookViews>
    <workbookView xWindow="-4940" yWindow="-23340" windowWidth="38080" windowHeight="23180" xr2:uid="{2CC7C1A6-27F3-1345-92F2-8358AB2D2DA3}"/>
  </bookViews>
  <sheets>
    <sheet name="Aloitus" sheetId="1" r:id="rId1"/>
    <sheet name="Ajankäyttö" sheetId="4" r:id="rId2"/>
    <sheet name="Myynti ja voittotavoitteet" sheetId="5" r:id="rId3"/>
    <sheet name="Hinnat" sheetId="6" r:id="rId4"/>
    <sheet name="Taul2" sheetId="3" state="hidden" r:id="rId5"/>
    <sheet name="Luettelojen sisällöt" sheetId="2" state="hidden" r:id="rId6"/>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M20" i="6" l="1"/>
  <c r="D150" i="1" l="1"/>
  <c r="B41" i="1" a="1"/>
  <c r="B41" i="1" s="1"/>
  <c r="B11" i="1" l="1"/>
  <c r="B28" i="1"/>
  <c r="E28" i="1"/>
  <c r="C28" i="1"/>
  <c r="D28" i="1"/>
  <c r="K35" i="5"/>
  <c r="F28" i="1"/>
  <c r="D17" i="1"/>
  <c r="D18" i="1"/>
  <c r="A7" i="4"/>
  <c r="H7" i="4" s="1"/>
  <c r="J66" i="1"/>
  <c r="J8" i="6"/>
  <c r="J9" i="6"/>
  <c r="J20" i="6"/>
  <c r="J31" i="6"/>
  <c r="E22" i="6"/>
  <c r="E23" i="6"/>
  <c r="E24" i="6"/>
  <c r="E25" i="6"/>
  <c r="E26" i="6"/>
  <c r="E27" i="6"/>
  <c r="E28" i="6"/>
  <c r="E29" i="6"/>
  <c r="E30" i="6"/>
  <c r="E21" i="6"/>
  <c r="E11" i="6"/>
  <c r="E12" i="6"/>
  <c r="E13" i="6"/>
  <c r="E14" i="6"/>
  <c r="E15" i="6"/>
  <c r="E16" i="6"/>
  <c r="E17" i="6"/>
  <c r="E18" i="6"/>
  <c r="E19" i="6"/>
  <c r="E10" i="6"/>
  <c r="D6" i="5"/>
  <c r="H20" i="4"/>
  <c r="H21" i="4"/>
  <c r="H22" i="4"/>
  <c r="H23" i="4"/>
  <c r="H24" i="4"/>
  <c r="H25" i="4"/>
  <c r="H26" i="4"/>
  <c r="H27" i="4"/>
  <c r="H28" i="4"/>
  <c r="H29" i="4"/>
  <c r="H19" i="4"/>
  <c r="I19" i="4" s="1"/>
  <c r="H17" i="4"/>
  <c r="H9" i="4"/>
  <c r="H10" i="4"/>
  <c r="H11" i="4"/>
  <c r="H12" i="4"/>
  <c r="H13" i="4"/>
  <c r="H14" i="4"/>
  <c r="H15" i="4"/>
  <c r="H16" i="4"/>
  <c r="H8" i="4"/>
  <c r="B3" i="6"/>
  <c r="C4" i="4"/>
  <c r="A5" i="4"/>
  <c r="B8" i="5"/>
  <c r="E19" i="5"/>
  <c r="E20" i="5"/>
  <c r="A7" i="6"/>
  <c r="A20" i="6"/>
  <c r="A21" i="6" s="1" a="1"/>
  <c r="A21" i="6" s="1"/>
  <c r="D21" i="6" s="1"/>
  <c r="M21" i="6" s="1"/>
  <c r="A9" i="6"/>
  <c r="A10" i="6" a="1"/>
  <c r="A10" i="6" s="1"/>
  <c r="D10" i="6" s="1"/>
  <c r="E29" i="1" a="1"/>
  <c r="E29" i="1" s="1"/>
  <c r="B27" i="1"/>
  <c r="C29" i="1" a="1"/>
  <c r="C29" i="1" s="1"/>
  <c r="A6" i="5"/>
  <c r="B5" i="5"/>
  <c r="B6" i="5" s="1"/>
  <c r="B9" i="5" a="1"/>
  <c r="B9" i="5" s="1"/>
  <c r="B21" i="5" a="1"/>
  <c r="B21" i="5" s="1"/>
  <c r="B20" i="5"/>
  <c r="A19" i="4"/>
  <c r="C43" i="4"/>
  <c r="M10" i="6" l="1"/>
  <c r="D3" i="5"/>
  <c r="A3" i="5"/>
  <c r="C7" i="4"/>
  <c r="D7" i="4"/>
  <c r="E7" i="4"/>
  <c r="F7" i="4"/>
  <c r="G7" i="4"/>
  <c r="D9" i="5"/>
  <c r="B10" i="6" s="1"/>
  <c r="B7" i="6"/>
  <c r="E7" i="6"/>
  <c r="E6" i="6" s="1"/>
  <c r="D26" i="6"/>
  <c r="M26" i="6" s="1"/>
  <c r="D27" i="6"/>
  <c r="M27" i="6" s="1"/>
  <c r="D25" i="6"/>
  <c r="M25" i="6" s="1"/>
  <c r="D23" i="6"/>
  <c r="M23" i="6" s="1"/>
  <c r="D22" i="6"/>
  <c r="M22" i="6" s="1"/>
  <c r="D30" i="6"/>
  <c r="M30" i="6" s="1"/>
  <c r="D29" i="6"/>
  <c r="M29" i="6" s="1"/>
  <c r="D24" i="6"/>
  <c r="M24" i="6" s="1"/>
  <c r="D28" i="6"/>
  <c r="M28" i="6" s="1"/>
  <c r="D16" i="6"/>
  <c r="M16" i="6" s="1"/>
  <c r="D12" i="6"/>
  <c r="M12" i="6" s="1"/>
  <c r="D19" i="6"/>
  <c r="M19" i="6" s="1"/>
  <c r="D11" i="6"/>
  <c r="M11" i="6" s="1"/>
  <c r="D18" i="6"/>
  <c r="M18" i="6" s="1"/>
  <c r="D15" i="6"/>
  <c r="M15" i="6" s="1"/>
  <c r="D14" i="6"/>
  <c r="M14" i="6" s="1"/>
  <c r="D13" i="6"/>
  <c r="M13" i="6" s="1"/>
  <c r="D17" i="6"/>
  <c r="M17" i="6" s="1"/>
  <c r="D6" i="6" l="1"/>
  <c r="D18" i="4"/>
  <c r="E18" i="4"/>
  <c r="F18" i="4"/>
  <c r="G18" i="4"/>
  <c r="C18" i="4"/>
  <c r="D30" i="4"/>
  <c r="E30" i="4"/>
  <c r="F30" i="4"/>
  <c r="G30" i="4"/>
  <c r="C30" i="4"/>
  <c r="A30" i="4"/>
  <c r="A18" i="4"/>
  <c r="I28" i="4" l="1"/>
  <c r="D29" i="5"/>
  <c r="B29" i="6" s="1"/>
  <c r="I29" i="4"/>
  <c r="D30" i="5"/>
  <c r="B30" i="6" s="1"/>
  <c r="I26" i="4"/>
  <c r="D27" i="5"/>
  <c r="B27" i="6" s="1"/>
  <c r="I27" i="4"/>
  <c r="D28" i="5"/>
  <c r="B28" i="6" s="1"/>
  <c r="I24" i="4"/>
  <c r="D25" i="5"/>
  <c r="B25" i="6" s="1"/>
  <c r="I25" i="4"/>
  <c r="D26" i="5"/>
  <c r="B26" i="6" s="1"/>
  <c r="I23" i="4"/>
  <c r="D24" i="5"/>
  <c r="B24" i="6" s="1"/>
  <c r="H30" i="4"/>
  <c r="I21" i="4"/>
  <c r="D22" i="5"/>
  <c r="B22" i="6" s="1"/>
  <c r="I20" i="4"/>
  <c r="D21" i="5"/>
  <c r="B21" i="6" s="1"/>
  <c r="I10" i="4"/>
  <c r="D11" i="5"/>
  <c r="B12" i="6" s="1"/>
  <c r="I17" i="4"/>
  <c r="D18" i="5"/>
  <c r="B19" i="6" s="1"/>
  <c r="I11" i="4"/>
  <c r="D12" i="5"/>
  <c r="B13" i="6" s="1"/>
  <c r="I9" i="4"/>
  <c r="D10" i="5"/>
  <c r="I15" i="4"/>
  <c r="D16" i="5"/>
  <c r="B17" i="6" s="1"/>
  <c r="I14" i="4"/>
  <c r="D15" i="5"/>
  <c r="B16" i="6" s="1"/>
  <c r="I13" i="4"/>
  <c r="D14" i="5"/>
  <c r="B15" i="6" s="1"/>
  <c r="I16" i="4"/>
  <c r="D17" i="5"/>
  <c r="B18" i="6" s="1"/>
  <c r="I12" i="4"/>
  <c r="D13" i="5"/>
  <c r="B14" i="6" s="1"/>
  <c r="H18" i="4"/>
  <c r="I8" i="4"/>
  <c r="D23" i="5"/>
  <c r="I22" i="4"/>
  <c r="B20" i="4" a="1"/>
  <c r="B20" i="4" s="1"/>
  <c r="B8" i="4" a="1"/>
  <c r="B8" i="4" s="1"/>
  <c r="C6" i="1"/>
  <c r="B8" i="1"/>
  <c r="B7" i="1"/>
  <c r="B23" i="1"/>
  <c r="D21" i="1"/>
  <c r="A30" i="5" s="1"/>
  <c r="D20" i="1"/>
  <c r="D19" i="1"/>
  <c r="A28" i="5" s="1"/>
  <c r="A26" i="5"/>
  <c r="D16" i="1"/>
  <c r="D15" i="1"/>
  <c r="A24" i="5" s="1"/>
  <c r="D14" i="1"/>
  <c r="D13" i="1"/>
  <c r="A22" i="5" s="1"/>
  <c r="D12" i="1"/>
  <c r="B21" i="1"/>
  <c r="A18" i="5" s="1"/>
  <c r="B20" i="1"/>
  <c r="B19" i="1"/>
  <c r="A16" i="5" s="1"/>
  <c r="B18" i="1"/>
  <c r="B17" i="1"/>
  <c r="A14" i="5" s="1"/>
  <c r="B16" i="1"/>
  <c r="B15" i="1"/>
  <c r="A12" i="5" s="1"/>
  <c r="B14" i="1"/>
  <c r="B13" i="1"/>
  <c r="A10" i="5" s="1"/>
  <c r="B12" i="1"/>
  <c r="D7" i="1"/>
  <c r="D8" i="1"/>
  <c r="I30" i="4" l="1"/>
  <c r="B11" i="6"/>
  <c r="D31" i="5"/>
  <c r="M23" i="5" s="1"/>
  <c r="B23" i="6"/>
  <c r="I18" i="4"/>
  <c r="E26" i="5"/>
  <c r="E28" i="5"/>
  <c r="E25" i="5"/>
  <c r="E27" i="5"/>
  <c r="E30" i="5"/>
  <c r="E29" i="5"/>
  <c r="E24" i="5"/>
  <c r="E22" i="5"/>
  <c r="E21" i="5"/>
  <c r="E17" i="5"/>
  <c r="E12" i="5"/>
  <c r="E14" i="5"/>
  <c r="E15" i="5"/>
  <c r="E18" i="5"/>
  <c r="E10" i="5"/>
  <c r="E11" i="5"/>
  <c r="E13" i="5"/>
  <c r="E16" i="5"/>
  <c r="E9" i="5"/>
  <c r="E23" i="5"/>
  <c r="A10" i="4"/>
  <c r="A11" i="5"/>
  <c r="A20" i="4"/>
  <c r="A21" i="5"/>
  <c r="A28" i="4"/>
  <c r="A29" i="5"/>
  <c r="A12" i="4"/>
  <c r="A13" i="5"/>
  <c r="A22" i="4"/>
  <c r="A23" i="5"/>
  <c r="A14" i="4"/>
  <c r="A15" i="5"/>
  <c r="A24" i="4"/>
  <c r="A25" i="5"/>
  <c r="A8" i="4"/>
  <c r="A9" i="5"/>
  <c r="A16" i="4"/>
  <c r="A17" i="5"/>
  <c r="A26" i="4"/>
  <c r="A27" i="5"/>
  <c r="B6" i="6" l="1"/>
  <c r="B4" i="6"/>
  <c r="E31" i="5"/>
  <c r="C14" i="6" l="1"/>
  <c r="F14" i="6" s="1"/>
  <c r="G14" i="6" s="1"/>
  <c r="K14" i="6" s="1"/>
  <c r="C7" i="6"/>
  <c r="C15" i="6"/>
  <c r="F15" i="6" s="1"/>
  <c r="G15" i="6" s="1"/>
  <c r="C17" i="6"/>
  <c r="F17" i="6" s="1"/>
  <c r="G17" i="6" s="1"/>
  <c r="K17" i="6" s="1"/>
  <c r="C13" i="6"/>
  <c r="F13" i="6" s="1"/>
  <c r="G13" i="6" s="1"/>
  <c r="K13" i="6" s="1"/>
  <c r="C16" i="6"/>
  <c r="F16" i="6" s="1"/>
  <c r="G16" i="6" s="1"/>
  <c r="K16" i="6" s="1"/>
  <c r="C19" i="6"/>
  <c r="F19" i="6" s="1"/>
  <c r="G19" i="6" s="1"/>
  <c r="K19" i="6" s="1"/>
  <c r="C12" i="6"/>
  <c r="F12" i="6" s="1"/>
  <c r="G12" i="6" s="1"/>
  <c r="K12" i="6" s="1"/>
  <c r="C11" i="6"/>
  <c r="F11" i="6" s="1"/>
  <c r="G11" i="6" s="1"/>
  <c r="C10" i="6"/>
  <c r="F10" i="6" s="1"/>
  <c r="C30" i="6"/>
  <c r="F30" i="6" s="1"/>
  <c r="G30" i="6" s="1"/>
  <c r="K30" i="6" s="1"/>
  <c r="C28" i="6"/>
  <c r="F28" i="6" s="1"/>
  <c r="G28" i="6" s="1"/>
  <c r="K28" i="6" s="1"/>
  <c r="C27" i="6"/>
  <c r="F27" i="6" s="1"/>
  <c r="G27" i="6" s="1"/>
  <c r="K27" i="6" s="1"/>
  <c r="C26" i="6"/>
  <c r="F26" i="6" s="1"/>
  <c r="G26" i="6" s="1"/>
  <c r="K26" i="6" s="1"/>
  <c r="C21" i="6"/>
  <c r="F21" i="6" s="1"/>
  <c r="G21" i="6" s="1"/>
  <c r="K21" i="6" s="1"/>
  <c r="C25" i="6"/>
  <c r="F25" i="6" s="1"/>
  <c r="G25" i="6" s="1"/>
  <c r="K25" i="6" s="1"/>
  <c r="C29" i="6"/>
  <c r="F29" i="6" s="1"/>
  <c r="G29" i="6" s="1"/>
  <c r="K29" i="6" s="1"/>
  <c r="C22" i="6"/>
  <c r="F22" i="6" s="1"/>
  <c r="G22" i="6" s="1"/>
  <c r="K22" i="6" s="1"/>
  <c r="C24" i="6"/>
  <c r="F24" i="6" s="1"/>
  <c r="G24" i="6" s="1"/>
  <c r="K24" i="6" s="1"/>
  <c r="C18" i="6"/>
  <c r="F18" i="6" s="1"/>
  <c r="G18" i="6" s="1"/>
  <c r="K18" i="6" s="1"/>
  <c r="C23" i="6"/>
  <c r="F23" i="6" s="1"/>
  <c r="G23" i="6" s="1"/>
  <c r="K23" i="6" s="1"/>
  <c r="H15" i="6" l="1"/>
  <c r="I15" i="6" s="1"/>
  <c r="J15" i="6" s="1"/>
  <c r="K15" i="6"/>
  <c r="H11" i="6"/>
  <c r="I11" i="6" s="1"/>
  <c r="J11" i="6" s="1"/>
  <c r="K11" i="6"/>
  <c r="G10" i="6"/>
  <c r="H19" i="6"/>
  <c r="I19" i="6" s="1"/>
  <c r="J19" i="6" s="1"/>
  <c r="H18" i="6"/>
  <c r="I18" i="6" s="1"/>
  <c r="J18" i="6" s="1"/>
  <c r="C6" i="6"/>
  <c r="H12" i="6"/>
  <c r="I12" i="6" s="1"/>
  <c r="J12" i="6" s="1"/>
  <c r="H30" i="6"/>
  <c r="I30" i="6" s="1"/>
  <c r="J30" i="6" s="1"/>
  <c r="H29" i="6"/>
  <c r="I29" i="6" s="1"/>
  <c r="J29" i="6" s="1"/>
  <c r="H22" i="6"/>
  <c r="I22" i="6" s="1"/>
  <c r="J22" i="6" s="1"/>
  <c r="H21" i="6"/>
  <c r="I21" i="6" s="1"/>
  <c r="J21" i="6" s="1"/>
  <c r="H28" i="6"/>
  <c r="I28" i="6" s="1"/>
  <c r="J28" i="6" s="1"/>
  <c r="H27" i="6"/>
  <c r="I27" i="6" s="1"/>
  <c r="J27" i="6" s="1"/>
  <c r="H26" i="6"/>
  <c r="I26" i="6" s="1"/>
  <c r="J26" i="6" s="1"/>
  <c r="H25" i="6"/>
  <c r="I25" i="6" s="1"/>
  <c r="J25" i="6" s="1"/>
  <c r="H24" i="6"/>
  <c r="I24" i="6" s="1"/>
  <c r="J24" i="6" s="1"/>
  <c r="H23" i="6"/>
  <c r="I23" i="6" s="1"/>
  <c r="J23" i="6" s="1"/>
  <c r="H17" i="6"/>
  <c r="I17" i="6" s="1"/>
  <c r="J17" i="6" s="1"/>
  <c r="H16" i="6"/>
  <c r="I16" i="6" s="1"/>
  <c r="J16" i="6" s="1"/>
  <c r="H14" i="6"/>
  <c r="I14" i="6" s="1"/>
  <c r="J14" i="6" s="1"/>
  <c r="H13" i="6"/>
  <c r="I13" i="6" s="1"/>
  <c r="J13" i="6" s="1"/>
  <c r="F7" i="6"/>
  <c r="G7" i="6" s="1"/>
  <c r="K7" i="6" s="1"/>
  <c r="H10" i="6" l="1"/>
  <c r="I10" i="6" s="1"/>
  <c r="J10" i="6" s="1"/>
  <c r="K10" i="6"/>
  <c r="K6" i="6" s="1"/>
  <c r="H7" i="6"/>
  <c r="F6" i="6"/>
  <c r="I7" i="6" l="1"/>
  <c r="J7" i="6" s="1"/>
  <c r="J6" i="6" l="1"/>
</calcChain>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<sst xmlns="http://schemas.openxmlformats.org/spreadsheetml/2006/main" count="175" uniqueCount="159">
  <si>
    <t>Tervetuloa hinnoittelun työkaluun!</t>
  </si>
  <si>
    <t>Yritykseni on toiminimi</t>
  </si>
  <si>
    <t>Kyllä</t>
  </si>
  <si>
    <t>Tarjoan</t>
  </si>
  <si>
    <t>Tuotteita, palveluja ja aikaani tuntiveloituksella</t>
  </si>
  <si>
    <t>Haluan syöttää raaka-ainekulut</t>
  </si>
  <si>
    <t>Jokaiselle tuotteelle erikseen</t>
  </si>
  <si>
    <t>Vuosittaiset kulut</t>
  </si>
  <si>
    <t>Ajankäyttö</t>
  </si>
  <si>
    <r>
      <t xml:space="preserve">Osa 2: Syötä tarjoamiesi tuotteiden ja palveluiden tuottamiseen kuluva aika. Tavoitteena on suunnitella vuosittaista ajankäyttöä niin, että aika riittää haluamasi myyntimäärän valmistamiseen. Seuraavalla välilehdellä pääset suunnittelemaan tuotteiden myyntiä. </t>
    </r>
    <r>
      <rPr>
        <b/>
        <sz val="14"/>
        <color theme="2" tint="-0.499984740745262"/>
        <rFont val="Aptos Narrow (Leipäteksti)"/>
      </rPr>
      <t>Jos yrityksesi tarjoaa ainoastaan aikaa tuntiveloituksella, voit siirtyä seuraavalle välilehdelle "Myynti ja voittotavoitteet".</t>
    </r>
  </si>
  <si>
    <t>Aion työskennellä</t>
  </si>
  <si>
    <t>11 kuukautta vuodessa (1kk loma)</t>
  </si>
  <si>
    <t>h/vuosi</t>
  </si>
  <si>
    <r>
      <rPr>
        <b/>
        <sz val="12"/>
        <color theme="2" tint="-0.499984740745262"/>
        <rFont val="Aptos Narrow"/>
        <scheme val="minor"/>
      </rPr>
      <t>Ajankäyttö:</t>
    </r>
    <r>
      <rPr>
        <sz val="12"/>
        <color theme="2" tint="-0.499984740745262"/>
        <rFont val="Aptos Narrow"/>
        <scheme val="minor"/>
      </rPr>
      <t xml:space="preserve"> Arvioi tuotteiden ja palvelujen tuottamiseen kuluvaa aikaa. Syötä tähän </t>
    </r>
    <r>
      <rPr>
        <b/>
        <sz val="12"/>
        <color theme="2" tint="-0.499984740745262"/>
        <rFont val="Aptos Narrow"/>
        <scheme val="minor"/>
      </rPr>
      <t xml:space="preserve">aika </t>
    </r>
    <r>
      <rPr>
        <sz val="12"/>
        <color theme="2" tint="-0.499984740745262"/>
        <rFont val="Aptos Narrow"/>
        <scheme val="minor"/>
      </rPr>
      <t xml:space="preserve">joka kuluu </t>
    </r>
    <r>
      <rPr>
        <b/>
        <sz val="12"/>
        <color theme="2" tint="-0.499984740745262"/>
        <rFont val="Aptos Narrow"/>
        <scheme val="minor"/>
      </rPr>
      <t>jokaisen yksikön</t>
    </r>
    <r>
      <rPr>
        <sz val="12"/>
        <color theme="2" tint="-0.499984740745262"/>
        <rFont val="Aptos Narrow"/>
        <scheme val="minor"/>
      </rPr>
      <t xml:space="preserve"> tuottamiseen.</t>
    </r>
  </si>
  <si>
    <t xml:space="preserve">Arvioi seuraavaksi kuinka paljon sinulla menee aikaa liiketoiminnan pyörittämiseen. Sellaista aikaa, joka ei kulu tuotteen tai palvelun valmistamiseen. </t>
  </si>
  <si>
    <t>Yleiset tunnit</t>
  </si>
  <si>
    <t>Suunnittelutyö</t>
  </si>
  <si>
    <t>Hallinto (kirjanpito, veroasiat tms)</t>
  </si>
  <si>
    <t>Selvitykset ja tiedonhaku</t>
  </si>
  <si>
    <t>Markkinointi ja myynti (neuvottelut)</t>
  </si>
  <si>
    <t>Matka-aika</t>
  </si>
  <si>
    <t>Hankinnat</t>
  </si>
  <si>
    <t>Muu aika</t>
  </si>
  <si>
    <t>Yhteensä</t>
  </si>
  <si>
    <t>Myynti- ja voittotavoitteet</t>
  </si>
  <si>
    <t>Osa 3: Arvioi tarjoamiesi tuotteiden, palveluiden tai laskutettavien tuntien vuosittaista myyntiä. Suunnittelun helpottamiseksi suunnitellun myynnin viereen on laskettu aika, joka menisi suunnitellun määrän tuottamiseen. Oikean laidan punaiseen puhekuplaan ilmestyy varoitus, jos suunnittelemasi aika ei riitä syöttämäsi myyntimäärän tuottamiseen. Muista täyttää myös voittotavoite.</t>
  </si>
  <si>
    <t>kpl/vuosi</t>
  </si>
  <si>
    <t>Käytetty aika yhteensä</t>
  </si>
  <si>
    <t>Voittotavoite</t>
  </si>
  <si>
    <t>€/vuosi</t>
  </si>
  <si>
    <t>Hinnat</t>
  </si>
  <si>
    <t>Kiinteät kulut + voittotavoite</t>
  </si>
  <si>
    <t>Toimintatunnit</t>
  </si>
  <si>
    <t>Käytetty aika vuodessa</t>
  </si>
  <si>
    <t>%</t>
  </si>
  <si>
    <t>Raaka-ainekulut</t>
  </si>
  <si>
    <t>Myyntimäärä vuodessa</t>
  </si>
  <si>
    <t>Kulujen osuus käytetyn ajan mukaan</t>
  </si>
  <si>
    <t>Veroton hinta</t>
  </si>
  <si>
    <t>Vero 25,5 %</t>
  </si>
  <si>
    <t>Myyntihinta</t>
  </si>
  <si>
    <t>Tuotot (verolliset)</t>
  </si>
  <si>
    <t>Tuotot (verottomat)</t>
  </si>
  <si>
    <t>KAIKKI YHTEENSÄ</t>
  </si>
  <si>
    <t>Valmistuskulut</t>
  </si>
  <si>
    <t>Laitevuokrat</t>
  </si>
  <si>
    <t>Muut tuotantokulut</t>
  </si>
  <si>
    <t>Työntekijöiden palkat</t>
  </si>
  <si>
    <t>Koulutuskulut</t>
  </si>
  <si>
    <t>Muut henkilöstökulut</t>
  </si>
  <si>
    <t>Toimitilan vuokra</t>
  </si>
  <si>
    <t>Sähkö</t>
  </si>
  <si>
    <t>Lämmitys</t>
  </si>
  <si>
    <t>Puhelinkulut</t>
  </si>
  <si>
    <t>Toimistotarvikkeet</t>
  </si>
  <si>
    <t>Mainoskulut</t>
  </si>
  <si>
    <t>Markkinointitapahtumat</t>
  </si>
  <si>
    <t>Näyttelymaksut</t>
  </si>
  <si>
    <t>Markkinointimateriaalit</t>
  </si>
  <si>
    <t>Muut markkinointi- ja myyntikulut</t>
  </si>
  <si>
    <t>Internet</t>
  </si>
  <si>
    <t>Kirjanpitopalvelut</t>
  </si>
  <si>
    <t>Muut palvelu- ja ohjelmistokulut</t>
  </si>
  <si>
    <t>Pankkikulut</t>
  </si>
  <si>
    <t>Rahoitushakemukset</t>
  </si>
  <si>
    <t>Lainojen korot</t>
  </si>
  <si>
    <t>Henkilökohtaiset kulut</t>
  </si>
  <si>
    <t>Asuminen</t>
  </si>
  <si>
    <t>Asunnon vuokra</t>
  </si>
  <si>
    <t>Asuntolainan lyhennys</t>
  </si>
  <si>
    <t>Vesi</t>
  </si>
  <si>
    <t>Kodin huolto ja remontit</t>
  </si>
  <si>
    <t>Sisustus</t>
  </si>
  <si>
    <t>Liikkuminen</t>
  </si>
  <si>
    <t>Matkaliput</t>
  </si>
  <si>
    <t>Auton huolto</t>
  </si>
  <si>
    <t>Polttoaine</t>
  </si>
  <si>
    <t>Muut liikkumiskustannukset</t>
  </si>
  <si>
    <t>Vapaa-aika</t>
  </si>
  <si>
    <t>Lemmikit</t>
  </si>
  <si>
    <t>Harrastusmaksut</t>
  </si>
  <si>
    <t>Juhlat</t>
  </si>
  <si>
    <t>Osallistumismaksut</t>
  </si>
  <si>
    <t xml:space="preserve">Ravintolat </t>
  </si>
  <si>
    <t>Lomakulut</t>
  </si>
  <si>
    <t>Muut vapaa-ajan kulut</t>
  </si>
  <si>
    <t>Tarvikkeet</t>
  </si>
  <si>
    <t>Elintarvikkeet</t>
  </si>
  <si>
    <t>Siivoustarvikkeet</t>
  </si>
  <si>
    <t>Pienlaitteet</t>
  </si>
  <si>
    <t>Kodinkoneet</t>
  </si>
  <si>
    <t>Vaatteet</t>
  </si>
  <si>
    <t>Päivittäistavarat</t>
  </si>
  <si>
    <t>Muut tarvikkeet</t>
  </si>
  <si>
    <t>Palvelut</t>
  </si>
  <si>
    <t>Ohjelmistojen rekisterimaksut</t>
  </si>
  <si>
    <t>Suoratoistopalvelut</t>
  </si>
  <si>
    <t>Muut palvelut</t>
  </si>
  <si>
    <t>Vakuutukset ja ennakointi</t>
  </si>
  <si>
    <t>Kotivakuutus</t>
  </si>
  <si>
    <t>Ajoneuvovakuutus</t>
  </si>
  <si>
    <t>Henkivakuutus</t>
  </si>
  <si>
    <t>Sairaus- ja tapaturmavakuutus</t>
  </si>
  <si>
    <t>Lemmikkivakuutus</t>
  </si>
  <si>
    <t>Säästöt</t>
  </si>
  <si>
    <t>Muut ennakointi ja vakuutuskulut</t>
  </si>
  <si>
    <t>Verot</t>
  </si>
  <si>
    <t>Kiinteistövero</t>
  </si>
  <si>
    <t>Ajoneuvovero</t>
  </si>
  <si>
    <t>Kirkollisvero</t>
  </si>
  <si>
    <t>Pääomatulovero</t>
  </si>
  <si>
    <t>Lahjavero</t>
  </si>
  <si>
    <t>Varainsiirtovero</t>
  </si>
  <si>
    <t>Muut henkilökohtaiset verot</t>
  </si>
  <si>
    <t>Vain tuotteita</t>
  </si>
  <si>
    <t>h/kk</t>
  </si>
  <si>
    <t>kpl/kk</t>
  </si>
  <si>
    <t>Yhtenä kokonaissummana</t>
  </si>
  <si>
    <t>12 kuukautta vuodessa</t>
  </si>
  <si>
    <t>Vero 0 %</t>
  </si>
  <si>
    <t>Ei</t>
  </si>
  <si>
    <t>Vain palveluja</t>
  </si>
  <si>
    <t>Vain aikaani tuntiveloituksella</t>
  </si>
  <si>
    <t>Muu määrä tunteja (syötä erikseen)</t>
  </si>
  <si>
    <t>Vero 14 %</t>
  </si>
  <si>
    <t>Tuotteita ja palveluja</t>
  </si>
  <si>
    <t>Tuotteita ja aikaani tuntiveloituksella</t>
  </si>
  <si>
    <t>Palveluja ja aikaani tuntiveloituksella</t>
  </si>
  <si>
    <t>Toimitilat ja kalusto</t>
  </si>
  <si>
    <t>Toimitilan huolto ja ylläpito</t>
  </si>
  <si>
    <t>Uudet laitteet ja kalusto</t>
  </si>
  <si>
    <t>Laitteiden ja kaluston poistot</t>
  </si>
  <si>
    <t>Muut toimitila- ja kalustokulut</t>
  </si>
  <si>
    <t>Palvelut ja lisenssit</t>
  </si>
  <si>
    <t>Ohjelmistojen lisenssit</t>
  </si>
  <si>
    <t>Verkkosivujen ylläpito</t>
  </si>
  <si>
    <t>Henkilöstökulut</t>
  </si>
  <si>
    <t>Yrittäjän työttömyysturvavakuutus</t>
  </si>
  <si>
    <t>Työntekijöiden vakuutukset</t>
  </si>
  <si>
    <t>Pakkausmateriaalit</t>
  </si>
  <si>
    <t>Varastokulut</t>
  </si>
  <si>
    <t>Matkakulut</t>
  </si>
  <si>
    <t>Edustuskulut</t>
  </si>
  <si>
    <t>Kirjat ja lehdet</t>
  </si>
  <si>
    <t>Liittojen ja järjestöjen jäsenmaksut</t>
  </si>
  <si>
    <t>Patentti-, malli- ja IPR-kulut</t>
  </si>
  <si>
    <t>Muiden järjestöjen jäsenmaksut</t>
  </si>
  <si>
    <t>Tuotanto ja hankinta</t>
  </si>
  <si>
    <t>Markkinointi ja myynti</t>
  </si>
  <si>
    <t>Postitus- ja kuljetuskulut</t>
  </si>
  <si>
    <t>Muut asumisen kustannukset</t>
  </si>
  <si>
    <t>Yrittäjän eläkevakuutus (YEL)</t>
  </si>
  <si>
    <r>
      <t xml:space="preserve">Voitto on rahamäärä, joka jää jäljelle, kun kaikki kulut on katettu. </t>
    </r>
    <r>
      <rPr>
        <b/>
        <sz val="12"/>
        <color theme="2" tint="-0.499984740745262"/>
        <rFont val="Aptos Narrow"/>
        <scheme val="minor"/>
      </rPr>
      <t>Arvioidessasi voittotavoitetta</t>
    </r>
    <r>
      <rPr>
        <sz val="12"/>
        <color theme="2" tint="-0.499984740745262"/>
        <rFont val="Aptos Narrow"/>
        <family val="2"/>
        <scheme val="minor"/>
      </rPr>
      <t>, voit miettiä esimerkiksi seuraavia asioita: Tarvitseeko minun tehdä investointeja lähitulevaisuudessa? Kuinka paljon minun on säästettävä  investointia varten? Olisiko minun hyvä säästää rahaa sen varalle, ettei myyntitavoitteeni toteudukaan?</t>
    </r>
  </si>
  <si>
    <t>Ostopalvelut</t>
  </si>
  <si>
    <t>esim. graafinen suunnittelu, pakkaussuunnittelu</t>
  </si>
  <si>
    <r>
      <t xml:space="preserve">Osa 1: Valitse ensin onko yrityksesi toiminimiyritys. Valitse sitten tarjoaako yrityksesi palveluja, tuotteita, aikaa tuntiveloituksella vai jotakin yhdistelmää edellä mainituista. Valintasi vaikuttaa työkalun laskentaperiaatteisiin, joten </t>
    </r>
    <r>
      <rPr>
        <b/>
        <sz val="14"/>
        <color theme="2" tint="-0.499984740745262"/>
        <rFont val="Aptos Narrow"/>
        <scheme val="minor"/>
      </rPr>
      <t>valitsethan parhaiten toimintaasi kuvaavan vaihtoehdon</t>
    </r>
    <r>
      <rPr>
        <sz val="14"/>
        <color theme="2" tint="-0.499984740745262"/>
        <rFont val="Aptos Narrow"/>
        <scheme val="minor"/>
      </rPr>
      <t>. Valintasi perusteella esiin tuleviin kenttiin voit syöttää kuinka monelle tuotteelle/palvelulle haluat laskea hinnan. Tällä työkalulla voit laskea hinnan enintään 10 tuotteelle, 10 palvelulle ja 1 laskutettavalle tunnille kerralla.</t>
    </r>
  </si>
  <si>
    <t>Valmistuskulut tuotteista joita et valmista itse (esim. tehtaan perimä valmistuskulu)</t>
  </si>
  <si>
    <r>
      <t xml:space="preserve">Jos hinnat vaikuttavat todella kummallisilta, kokeile ensin muokata "Ajankäyttö" välilehdellä syöttämiäsi tuote/palvelukohtaisia tuotantoaikoja niin, että ne kuvastavat todellista aikaa joka kuluu </t>
    </r>
    <r>
      <rPr>
        <b/>
        <sz val="14"/>
        <color theme="2" tint="-0.499984740745262"/>
        <rFont val="Aptos Narrow"/>
        <scheme val="minor"/>
      </rPr>
      <t>jokaisen yksittäisen kappaleen</t>
    </r>
    <r>
      <rPr>
        <sz val="14"/>
        <color theme="2" tint="-0.499984740745262"/>
        <rFont val="Aptos Narrow"/>
        <scheme val="minor"/>
      </rPr>
      <t xml:space="preserve"> tuottamiseen. Jos se ei toimi, kokeile syöttää materiaalikulut jokaiselle tuotteelle/palvelulle erikseen, yhden summan sijaan. Tällöin materiaalikustannukset kohdituvat oikealle tuotteelle. Jos mikään ei tunnu toimivan ja kaikki keinot tuntuu olevan käytetty, varaa aika henkilökohtaiseen neuvontaan Ornamon nettisivuilla (palvelu tarjolla vain jäsenille).</t>
    </r>
  </si>
  <si>
    <r>
      <t xml:space="preserve">Tälle välilehdelle on laskettu syöttämiesi tietojen avulla hinnat tarjoamillesi tuotteille/palveluille. Veroprosentin kohdalta voit valita joko 25,5%, 14% tai 0% arvonlisäveron. Hinnat lasketaan seuraavalla tavalla: syöttämäsi kulut kohdistetaan tuotteille ja palveluille niihin käytetyn ajan mukaan. Tämä osuus jaetaan suunnitellulla myyntimäärällä, jolloin saadaan yksikkökohtainen määrä kuluja. Tämän jälkeen saatuun hintaan lisätään raaka-ainekustannukset ja verot valitun alv% mukaan. </t>
    </r>
    <r>
      <rPr>
        <b/>
        <sz val="14"/>
        <color theme="2" tint="-0.499984740745262"/>
        <rFont val="Aptos Narrow (Leipäteksti)"/>
      </rPr>
      <t xml:space="preserve">Huomaathan, että </t>
    </r>
    <r>
      <rPr>
        <sz val="14"/>
        <color theme="2" tint="-0.499984740745262"/>
        <rFont val="Aptos Narrow (Leipäteksti)"/>
      </rPr>
      <t>hinnat ovat käyttäjän syöttämien tietojen pohjalta tehtyjä laskelmia, eikä niiden voida katsoa olevan Ornamon antamia suositushintoja muotoilutuotteille tai -palveluille.</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</si>
</sst>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0\ &quot;€&quot;"/>
    <numFmt numFmtId="165" formatCode="#,##0.0\ &quot;€&quot;"/>
  </numFmts>
  <fonts count="13" x14ac:knownFonts="1">
    <font>
      <sz val="12"/>
      <color theme="1"/>
      <name val="Aptos Narrow"/>
      <family val="2"/>
      <scheme val="minor"/>
    </font>
    <font>
      <sz val="12"/>
      <color theme="2" tint="-0.499984740745262"/>
      <name val="Aptos Narrow"/>
      <family val="2"/>
      <scheme val="minor"/>
    </font>
    <font>
      <b/>
      <sz val="12"/>
      <color theme="2" tint="-0.499984740745262"/>
      <name val="Aptos Narrow"/>
      <scheme val="minor"/>
    </font>
    <font>
      <sz val="12"/>
      <color theme="0"/>
      <name val="Aptos Narrow"/>
      <family val="2"/>
      <scheme val="minor"/>
    </font>
    <font>
      <sz val="14"/>
      <color theme="2" tint="-0.499984740745262"/>
      <name val="Aptos Narrow"/>
      <family val="2"/>
      <scheme val="minor"/>
    </font>
    <font>
      <b/>
      <sz val="18"/>
      <color theme="2" tint="-0.499984740745262"/>
      <name val="Aptos Narrow"/>
      <scheme val="minor"/>
    </font>
    <font>
      <b/>
      <sz val="12"/>
      <color theme="0"/>
      <name val="Aptos Narrow"/>
      <scheme val="minor"/>
    </font>
    <font>
      <sz val="14"/>
      <color theme="2" tint="-0.499984740745262"/>
      <name val="Aptos Narrow (Leipäteksti)"/>
    </font>
    <font>
      <sz val="14"/>
      <color theme="2" tint="-0.499984740745262"/>
      <name val="Aptos Narrow"/>
      <scheme val="minor"/>
    </font>
    <font>
      <b/>
      <sz val="14"/>
      <color theme="2" tint="-0.499984740745262"/>
      <name val="Aptos Narrow (Leipäteksti)"/>
    </font>
    <font>
      <sz val="12"/>
      <color theme="2" tint="-0.499984740745262"/>
      <name val="Aptos Narrow"/>
      <scheme val="minor"/>
    </font>
    <font>
      <b/>
      <sz val="14"/>
      <color theme="2" tint="-0.499984740745262"/>
      <name val="Aptos Narrow"/>
      <scheme val="minor"/>
    </font>
    <font>
      <sz val="14"/>
      <color theme="0"/>
      <name val="Aptos Narrow"/>
      <family val="2"/>
      <scheme val="minor"/>
    </font>
  </fonts>
  <fills count="9">
    <fill>
      <patternFill patternType="none"/>
    </fill>
    <fill>
      <patternFill patternType="gray125"/>
    </fill>
    <fill>
      <patternFill patternType="solid">
        <fgColor theme="8" tint="-9.9978637043366805E-2"/>
        <bgColor indexed="64"/>
      </patternFill>
    </fill>
    <fill>
      <patternFill patternType="solid">
        <fgColor theme="6"/>
        <bgColor indexed="64"/>
      </patternFill>
    </fill>
    <fill>
      <patternFill patternType="solid">
        <fgColor theme="3" tint="0.79998168889431442"/>
        <bgColor indexed="64"/>
      </patternFill>
    </fill>
    <fill>
      <patternFill patternType="solid">
        <fgColor theme="3" tint="0.59999389629810485"/>
        <bgColor indexed="64"/>
      </patternFill>
    </fill>
    <fill>
      <patternFill patternType="solid">
        <fgColor theme="7"/>
        <bgColor indexed="64"/>
      </patternFill>
    </fill>
    <fill>
      <patternFill patternType="solid">
        <fgColor theme="4" tint="0.79998168889431442"/>
        <bgColor indexed="64"/>
      </patternFill>
    </fill>
    <fill>
      <patternFill patternType="solid">
        <fgColor rgb="FFFFFF00"/>
        <bgColor indexed="64"/>
      </patternFill>
    </fill>
  </fills>
  <borders count="8">
    <border>
      <left/>
      <right/>
      <top/>
      <bottom/>
      <diagonal/>
    </border>
    <border>
      <left style="thin">
        <color indexed="64"/>
      </left>
      <right style="thin">
        <color indexed="64"/>
      </right>
      <top style="thin">
        <color indexed="64"/>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double">
        <color indexed="64"/>
      </bottom>
      <diagonal/>
    </border>
    <border>
      <left style="thin">
        <color theme="8" tint="-0.249977111117893"/>
      </left>
      <right style="thin">
        <color theme="8" tint="-0.249977111117893"/>
      </right>
      <top style="thin">
        <color theme="8" tint="-0.249977111117893"/>
      </top>
      <bottom style="thin">
        <color theme="8" tint="-0.249977111117893"/>
      </bottom>
      <diagonal/>
    </border>
    <border>
      <left style="thin">
        <color theme="8" tint="-0.249977111117893"/>
      </left>
      <right style="thin">
        <color theme="8" tint="-0.249977111117893"/>
      </right>
      <top/>
      <bottom style="thin">
        <color theme="8" tint="-0.249977111117893"/>
      </bottom>
      <diagonal/>
    </border>
    <border>
      <left style="thin">
        <color indexed="64"/>
      </left>
      <right style="thin">
        <color indexed="64"/>
      </right>
      <top style="double">
        <color indexed="64"/>
      </top>
      <bottom style="thin">
        <color indexed="64"/>
      </bottom>
      <diagonal/>
    </border>
  </borders>
  <cellStyleXfs count="1">
    <xf numFmtId="0" fontId="0" fillId="0" borderId="0"/>
  </cellStyleXfs>
  <cellXfs count="76">
    <xf numFmtId="0" fontId="0" fillId="0" borderId="0" xfId="0"/>
    <xf numFmtId="0" fontId="1" fillId="0" borderId="0" xfId="0" applyFont="1"/>
    <xf numFmtId="0" fontId="3" fillId="0" borderId="0" xfId="0" applyFont="1"/>
    <xf numFmtId="0" fontId="2" fillId="0" borderId="0" xfId="0" applyFont="1"/>
    <xf numFmtId="0" fontId="1" fillId="0" borderId="0" xfId="0" applyFont="1" applyAlignment="1">
      <alignment vertical="center" wrapText="1"/>
    </xf>
    <xf numFmtId="0" fontId="1" fillId="3" borderId="0" xfId="0" applyFont="1" applyFill="1"/>
    <xf numFmtId="0" fontId="4" fillId="3" borderId="0" xfId="0" applyFont="1" applyFill="1"/>
    <xf numFmtId="0" fontId="5" fillId="3" borderId="0" xfId="0" applyFont="1" applyFill="1" applyAlignment="1">
      <alignment horizontal="center" vertical="center"/>
    </xf>
    <xf numFmtId="0" fontId="2" fillId="0" borderId="0" xfId="0" applyFont="1" applyAlignment="1">
      <alignment wrapText="1"/>
    </xf>
    <xf numFmtId="164" fontId="1" fillId="0" borderId="0" xfId="0" applyNumberFormat="1" applyFont="1"/>
    <xf numFmtId="0" fontId="1" fillId="3" borderId="0" xfId="0" applyFont="1" applyFill="1" applyAlignment="1">
      <alignment vertical="center" wrapText="1"/>
    </xf>
    <xf numFmtId="0" fontId="1" fillId="0" borderId="0" xfId="0" applyFont="1" applyAlignment="1">
      <alignment vertical="center"/>
    </xf>
    <xf numFmtId="0" fontId="2" fillId="5" borderId="0" xfId="0" applyFont="1" applyFill="1"/>
    <xf numFmtId="0" fontId="2" fillId="5" borderId="0" xfId="0" applyFont="1" applyFill="1" applyAlignment="1">
      <alignment vertical="center"/>
    </xf>
    <xf numFmtId="0" fontId="1" fillId="5" borderId="3" xfId="0" applyFont="1" applyFill="1" applyBorder="1"/>
    <xf numFmtId="0" fontId="6" fillId="0" borderId="0" xfId="0" applyFont="1"/>
    <xf numFmtId="165" fontId="1" fillId="0" borderId="0" xfId="0" applyNumberFormat="1" applyFont="1"/>
    <xf numFmtId="0" fontId="2" fillId="0" borderId="0" xfId="0" applyFont="1" applyAlignment="1">
      <alignment horizontal="center" wrapText="1"/>
    </xf>
    <xf numFmtId="0" fontId="10" fillId="0" borderId="0" xfId="0" applyFont="1"/>
    <xf numFmtId="0" fontId="5" fillId="3" borderId="0" xfId="0" applyFont="1" applyFill="1" applyAlignment="1">
      <alignment horizontal="left" vertical="center"/>
    </xf>
    <xf numFmtId="0" fontId="2" fillId="4" borderId="0" xfId="0" applyFont="1" applyFill="1"/>
    <xf numFmtId="0" fontId="10" fillId="0" borderId="0" xfId="0" applyFont="1" applyAlignment="1">
      <alignment vertical="center"/>
    </xf>
    <xf numFmtId="10" fontId="5" fillId="3" borderId="0" xfId="0" applyNumberFormat="1" applyFont="1" applyFill="1" applyAlignment="1">
      <alignment horizontal="left"/>
    </xf>
    <xf numFmtId="10" fontId="1" fillId="0" borderId="0" xfId="0" applyNumberFormat="1" applyFont="1"/>
    <xf numFmtId="1" fontId="1" fillId="0" borderId="0" xfId="0" applyNumberFormat="1" applyFont="1"/>
    <xf numFmtId="1" fontId="1" fillId="0" borderId="0" xfId="0" applyNumberFormat="1" applyFont="1" applyAlignment="1">
      <alignment wrapText="1"/>
    </xf>
    <xf numFmtId="0" fontId="4" fillId="3" borderId="0" xfId="0" applyFont="1" applyFill="1" applyAlignment="1">
      <alignment horizontal="left" vertical="center" wrapText="1"/>
    </xf>
    <xf numFmtId="0" fontId="7" fillId="3" borderId="0" xfId="0" applyFont="1" applyFill="1" applyAlignment="1">
      <alignment horizontal="left" vertical="center" wrapText="1"/>
    </xf>
    <xf numFmtId="1" fontId="1" fillId="0" borderId="0" xfId="0" quotePrefix="1" applyNumberFormat="1" applyFont="1"/>
    <xf numFmtId="165" fontId="1" fillId="3" borderId="0" xfId="0" applyNumberFormat="1" applyFont="1" applyFill="1"/>
    <xf numFmtId="165" fontId="4" fillId="3" borderId="0" xfId="0" applyNumberFormat="1" applyFont="1" applyFill="1"/>
    <xf numFmtId="165" fontId="2" fillId="0" borderId="0" xfId="0" applyNumberFormat="1" applyFont="1" applyAlignment="1">
      <alignment horizontal="center" wrapText="1"/>
    </xf>
    <xf numFmtId="10" fontId="2" fillId="0" borderId="0" xfId="0" applyNumberFormat="1" applyFont="1" applyAlignment="1">
      <alignment horizontal="center" wrapText="1"/>
    </xf>
    <xf numFmtId="0" fontId="2" fillId="0" borderId="0" xfId="0" applyFont="1" applyAlignment="1">
      <alignment horizontal="center"/>
    </xf>
    <xf numFmtId="165" fontId="1" fillId="0" borderId="0" xfId="0" applyNumberFormat="1" applyFont="1" applyAlignment="1">
      <alignment horizontal="center"/>
    </xf>
    <xf numFmtId="0" fontId="2" fillId="6" borderId="0" xfId="0" applyFont="1" applyFill="1"/>
    <xf numFmtId="1" fontId="2" fillId="6" borderId="0" xfId="0" applyNumberFormat="1" applyFont="1" applyFill="1" applyAlignment="1">
      <alignment horizontal="right" wrapText="1"/>
    </xf>
    <xf numFmtId="10" fontId="2" fillId="6" borderId="0" xfId="0" applyNumberFormat="1" applyFont="1" applyFill="1" applyAlignment="1">
      <alignment horizontal="right" wrapText="1"/>
    </xf>
    <xf numFmtId="164" fontId="2" fillId="6" borderId="0" xfId="0" applyNumberFormat="1" applyFont="1" applyFill="1" applyAlignment="1">
      <alignment horizontal="right" wrapText="1"/>
    </xf>
    <xf numFmtId="0" fontId="5" fillId="3" borderId="0" xfId="0" applyFont="1" applyFill="1" applyAlignment="1">
      <alignment horizontal="right" vertical="center"/>
    </xf>
    <xf numFmtId="165" fontId="1" fillId="7" borderId="6" xfId="0" applyNumberFormat="1" applyFont="1" applyFill="1" applyBorder="1"/>
    <xf numFmtId="165" fontId="2" fillId="7" borderId="5" xfId="0" applyNumberFormat="1" applyFont="1" applyFill="1" applyBorder="1" applyAlignment="1">
      <alignment horizontal="center"/>
    </xf>
    <xf numFmtId="164" fontId="2" fillId="7" borderId="5" xfId="0" applyNumberFormat="1" applyFont="1" applyFill="1" applyBorder="1" applyAlignment="1">
      <alignment horizontal="right" wrapText="1"/>
    </xf>
    <xf numFmtId="165" fontId="1" fillId="7" borderId="5" xfId="0" applyNumberFormat="1" applyFont="1" applyFill="1" applyBorder="1"/>
    <xf numFmtId="0" fontId="11" fillId="0" borderId="0" xfId="0" applyFont="1"/>
    <xf numFmtId="0" fontId="1" fillId="0" borderId="0" xfId="0" applyFont="1" applyProtection="1">
      <protection locked="0"/>
    </xf>
    <xf numFmtId="0" fontId="1" fillId="0" borderId="1" xfId="0" applyFont="1" applyBorder="1" applyProtection="1">
      <protection locked="0"/>
    </xf>
    <xf numFmtId="0" fontId="10" fillId="0" borderId="0" xfId="0" applyFont="1" applyProtection="1">
      <protection locked="0"/>
    </xf>
    <xf numFmtId="0" fontId="10" fillId="0" borderId="1" xfId="0" applyFont="1" applyBorder="1" applyProtection="1">
      <protection locked="0"/>
    </xf>
    <xf numFmtId="0" fontId="1" fillId="4" borderId="1" xfId="0" applyFont="1" applyFill="1" applyBorder="1" applyProtection="1">
      <protection locked="0"/>
    </xf>
    <xf numFmtId="0" fontId="1" fillId="4" borderId="4" xfId="0" applyFont="1" applyFill="1" applyBorder="1" applyProtection="1">
      <protection locked="0"/>
    </xf>
    <xf numFmtId="0" fontId="2" fillId="2" borderId="0" xfId="0" applyFont="1" applyFill="1" applyProtection="1">
      <protection locked="0"/>
    </xf>
    <xf numFmtId="165" fontId="1" fillId="0" borderId="1" xfId="0" applyNumberFormat="1" applyFont="1" applyBorder="1" applyProtection="1">
      <protection locked="0"/>
    </xf>
    <xf numFmtId="165" fontId="1" fillId="0" borderId="0" xfId="0" applyNumberFormat="1" applyFont="1" applyProtection="1">
      <protection locked="0"/>
    </xf>
    <xf numFmtId="165" fontId="1" fillId="0" borderId="6" xfId="0" applyNumberFormat="1" applyFont="1" applyBorder="1"/>
    <xf numFmtId="0" fontId="1" fillId="8" borderId="0" xfId="0" applyFont="1" applyFill="1"/>
    <xf numFmtId="0" fontId="3" fillId="3" borderId="0" xfId="0" applyFont="1" applyFill="1"/>
    <xf numFmtId="0" fontId="12" fillId="3" borderId="0" xfId="0" applyFont="1" applyFill="1"/>
    <xf numFmtId="165" fontId="3" fillId="0" borderId="0" xfId="0" applyNumberFormat="1" applyFont="1"/>
    <xf numFmtId="164" fontId="1" fillId="3" borderId="0" xfId="0" applyNumberFormat="1" applyFont="1" applyFill="1"/>
    <xf numFmtId="0" fontId="2" fillId="0" borderId="2" xfId="0" applyFont="1" applyBorder="1"/>
    <xf numFmtId="0" fontId="1" fillId="4" borderId="1" xfId="0" applyFont="1" applyFill="1" applyBorder="1"/>
    <xf numFmtId="0" fontId="1" fillId="0" borderId="1" xfId="0" applyFont="1" applyBorder="1"/>
    <xf numFmtId="0" fontId="1" fillId="4" borderId="3" xfId="0" applyFont="1" applyFill="1" applyBorder="1"/>
    <xf numFmtId="0" fontId="1" fillId="0" borderId="3" xfId="0" applyFont="1" applyBorder="1"/>
    <xf numFmtId="0" fontId="1" fillId="4" borderId="4" xfId="0" applyFont="1" applyFill="1" applyBorder="1"/>
    <xf numFmtId="0" fontId="2" fillId="5" borderId="7" xfId="0" applyFont="1" applyFill="1" applyBorder="1"/>
    <xf numFmtId="0" fontId="11" fillId="0" borderId="0" xfId="0" applyFont="1" applyAlignment="1">
      <alignment horizontal="left" vertical="center"/>
    </xf>
    <xf numFmtId="0" fontId="8" fillId="0" borderId="0" xfId="0" applyFont="1"/>
    <xf numFmtId="0" fontId="4" fillId="3" borderId="0" xfId="0" applyFont="1" applyFill="1" applyAlignment="1">
      <alignment horizontal="left" vertical="center" wrapText="1"/>
    </xf>
    <xf numFmtId="0" fontId="8" fillId="3" borderId="0" xfId="0" applyFont="1" applyFill="1" applyAlignment="1">
      <alignment horizontal="left" vertical="center" wrapText="1"/>
    </xf>
    <xf numFmtId="0" fontId="1" fillId="0" borderId="0" xfId="0" applyFont="1" applyAlignment="1">
      <alignment horizontal="left" vertical="center" wrapText="1"/>
    </xf>
    <xf numFmtId="0" fontId="7" fillId="3" borderId="0" xfId="0" applyFont="1" applyFill="1" applyAlignment="1">
      <alignment horizontal="left" vertical="top" wrapText="1"/>
    </xf>
    <xf numFmtId="0" fontId="7" fillId="3" borderId="0" xfId="0" applyFont="1" applyFill="1" applyAlignment="1">
      <alignment horizontal="left" vertical="center" wrapText="1"/>
    </xf>
    <xf numFmtId="0" fontId="10" fillId="0" borderId="0" xfId="0" applyFont="1" applyAlignment="1">
      <alignment horizontal="center" vertical="center" wrapText="1"/>
    </xf>
    <xf numFmtId="0" fontId="8" fillId="3" borderId="0" xfId="0" applyFont="1" applyFill="1" applyAlignment="1">
      <alignment horizontal="left" wrapText="1"/>
    </xf>
  </cellXfs>
  <cellStyles count="1">
    <cellStyle name="Normaali" xfId="0" builtinId="0"/>
  </cellStyles>
  <dxfs count="41">
    <dxf>
      <font>
        <color theme="0"/>
      </font>
    </dxf>
    <dxf>
      <fill>
        <patternFill>
          <bgColor theme="0" tint="-4.9989318521683403E-2"/>
        </patternFill>
      </fill>
      <border>
        <left style="thin">
          <color theme="0" tint="-0.34998626667073579"/>
        </left>
        <right style="thin">
          <color theme="0" tint="-0.34998626667073579"/>
        </right>
        <top style="thin">
          <color theme="0" tint="-0.34998626667073579"/>
        </top>
        <bottom style="thin">
          <color theme="0" tint="-0.34998626667073579"/>
        </bottom>
      </border>
    </dxf>
    <dxf>
      <fill>
        <patternFill>
          <bgColor theme="0" tint="-4.9989318521683403E-2"/>
        </patternFill>
      </fill>
      <border>
        <left style="thin">
          <color theme="0" tint="-0.34998626667073579"/>
        </left>
        <right style="thin">
          <color theme="0" tint="-0.34998626667073579"/>
        </right>
        <top style="thin">
          <color theme="0" tint="-0.34998626667073579"/>
        </top>
        <bottom style="thin">
          <color theme="0" tint="-0.34998626667073579"/>
        </bottom>
      </border>
    </dxf>
    <dxf>
      <font>
        <color theme="0"/>
      </font>
    </dxf>
    <dxf>
      <font>
        <b/>
        <i val="0"/>
        <color theme="5" tint="-0.499984740745262"/>
      </font>
      <fill>
        <patternFill>
          <bgColor theme="6"/>
        </patternFill>
      </fill>
    </dxf>
    <dxf>
      <border>
        <left style="thin">
          <color auto="1"/>
        </left>
        <right style="thin">
          <color auto="1"/>
        </right>
        <top style="thin">
          <color auto="1"/>
        </top>
        <bottom style="thin">
          <color auto="1"/>
        </bottom>
        <vertical/>
        <horizontal/>
      </border>
    </dxf>
    <dxf>
      <font>
        <color theme="0"/>
      </font>
      <fill>
        <patternFill patternType="none">
          <bgColor auto="1"/>
        </patternFill>
      </fill>
      <border>
        <left/>
        <right/>
        <top/>
        <bottom/>
        <vertical/>
        <horizontal/>
      </border>
    </dxf>
    <dxf>
      <fill>
        <patternFill patternType="none">
          <bgColor auto="1"/>
        </patternFill>
      </fill>
      <border>
        <left style="thin">
          <color auto="1"/>
        </left>
        <right style="thin">
          <color auto="1"/>
        </right>
        <top style="thin">
          <color auto="1"/>
        </top>
        <bottom style="thin">
          <color auto="1"/>
        </bottom>
        <vertical/>
        <horizontal/>
      </border>
    </dxf>
    <dxf>
      <font>
        <color theme="0"/>
      </font>
      <fill>
        <patternFill patternType="none">
          <bgColor auto="1"/>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patternType="none">
          <bgColor auto="1"/>
        </patternFill>
      </fill>
      <border>
        <left/>
        <right/>
        <top/>
        <bottom/>
        <vertical/>
        <horizontal/>
      </border>
    </dxf>
    <dxf>
      <font>
        <color theme="0"/>
      </font>
      <fill>
        <patternFill patternType="none">
          <bgColor auto="1"/>
        </patternFill>
      </fill>
      <border>
        <left/>
        <right/>
        <top/>
        <bottom/>
        <vertical/>
        <horizontal/>
      </border>
    </dxf>
    <dxf>
      <font>
        <color theme="0"/>
      </font>
    </dxf>
    <dxf>
      <border>
        <bottom style="thin">
          <color auto="1"/>
        </bottom>
        <vertical/>
        <horizontal/>
      </border>
    </dxf>
    <dxf>
      <font>
        <color theme="0"/>
      </font>
    </dxf>
    <dxf>
      <border>
        <bottom style="thin">
          <color auto="1"/>
        </bottom>
        <vertical/>
        <horizontal/>
      </border>
    </dxf>
    <dxf>
      <font>
        <color theme="0"/>
      </font>
    </dxf>
    <dxf>
      <fill>
        <patternFill>
          <bgColor theme="3" tint="0.59996337778862885"/>
        </patternFill>
      </fill>
    </dxf>
    <dxf>
      <fill>
        <patternFill>
          <bgColor theme="3" tint="0.59996337778862885"/>
        </patternFill>
      </fill>
    </dxf>
    <dxf>
      <border>
        <left style="thin">
          <color auto="1"/>
        </left>
        <right style="thin">
          <color auto="1"/>
        </right>
        <top style="thin">
          <color auto="1"/>
        </top>
        <bottom style="thin">
          <color auto="1"/>
        </bottom>
        <vertical/>
        <horizontal/>
      </border>
    </dxf>
    <dxf>
      <border>
        <left style="thin">
          <color auto="1"/>
        </left>
        <right style="thin">
          <color auto="1"/>
        </right>
        <top style="thin">
          <color auto="1"/>
        </top>
        <bottom style="thin">
          <color auto="1"/>
        </bottom>
        <vertical/>
        <horizontal/>
      </border>
    </dxf>
    <dxf>
      <fill>
        <patternFill>
          <bgColor theme="3" tint="0.59996337778862885"/>
        </patternFill>
      </fill>
    </dxf>
    <dxf>
      <fill>
        <patternFill>
          <bgColor theme="3" tint="0.59996337778862885"/>
        </patternFill>
      </fill>
    </dxf>
    <dxf>
      <fill>
        <patternFill>
          <bgColor theme="3" tint="0.79998168889431442"/>
        </patternFill>
      </fill>
    </dxf>
    <dxf>
      <fill>
        <patternFill>
          <bgColor theme="3" tint="0.79998168889431442"/>
        </patternFill>
      </fill>
    </dxf>
    <dxf>
      <border>
        <left style="thin">
          <color auto="1"/>
        </left>
        <right style="thin">
          <color auto="1"/>
        </right>
        <top style="thin">
          <color auto="1"/>
        </top>
        <bottom style="thin">
          <color auto="1"/>
        </bottom>
        <vertical/>
        <horizontal/>
      </border>
    </dxf>
    <dxf>
      <font>
        <color theme="0"/>
      </font>
    </dxf>
    <dxf>
      <font>
        <color theme="0"/>
      </font>
    </dxf>
    <dxf>
      <border>
        <left style="thin">
          <color auto="1"/>
        </left>
        <right style="thin">
          <color auto="1"/>
        </right>
        <top style="thin">
          <color auto="1"/>
        </top>
        <bottom style="thin">
          <color auto="1"/>
        </bottom>
        <vertical/>
        <horizontal/>
      </border>
    </dxf>
    <dxf>
      <border>
        <left/>
        <right/>
        <top/>
        <bottom/>
        <vertical/>
        <horizontal/>
      </border>
    </dxf>
    <dxf>
      <border>
        <left/>
        <right/>
        <top style="thin">
          <color auto="1"/>
        </top>
        <bottom/>
        <vertical/>
        <horizontal/>
      </border>
    </dxf>
    <dxf>
      <border>
        <left style="thin">
          <color auto="1"/>
        </left>
        <right style="thin">
          <color auto="1"/>
        </right>
        <top style="thin">
          <color auto="1"/>
        </top>
        <bottom style="thin">
          <color auto="1"/>
        </bottom>
        <vertical/>
        <horizontal/>
      </border>
    </dxf>
    <dxf>
      <border>
        <left style="thin">
          <color auto="1"/>
        </left>
        <right style="thin">
          <color auto="1"/>
        </right>
        <top style="thin">
          <color auto="1"/>
        </top>
        <bottom style="thin">
          <color auto="1"/>
        </bottom>
        <vertical/>
        <horizontal/>
      </border>
    </dxf>
    <dxf>
      <border>
        <left style="thin">
          <color auto="1"/>
        </left>
        <right style="thin">
          <color auto="1"/>
        </right>
        <top style="thin">
          <color auto="1"/>
        </top>
        <bottom style="thin">
          <color auto="1"/>
        </bottom>
        <vertical/>
        <horizontal/>
      </border>
    </dxf>
    <dxf>
      <font>
        <color theme="0"/>
      </font>
    </dxf>
    <dxf>
      <border>
        <left style="thin">
          <color auto="1"/>
        </left>
        <right style="thin">
          <color auto="1"/>
        </right>
        <top style="thin">
          <color auto="1"/>
        </top>
        <bottom style="thin">
          <color auto="1"/>
        </bottom>
        <vertical/>
        <horizontal/>
      </border>
    </dxf>
    <dxf>
      <border>
        <left/>
        <right/>
        <top/>
        <bottom/>
        <vertical/>
        <horizontal/>
      </border>
    </dxf>
    <dxf>
      <border>
        <left/>
        <right/>
        <top style="thin">
          <color auto="1"/>
        </top>
        <bottom/>
        <vertical/>
        <horizontal/>
      </border>
    </dxf>
    <dxf>
      <border>
        <left style="thin">
          <color auto="1"/>
        </left>
        <right style="thin">
          <color auto="1"/>
        </right>
        <top style="thin">
          <color auto="1"/>
        </top>
        <bottom style="thin">
          <color auto="1"/>
        </bottom>
        <vertical/>
        <horizontal/>
      </border>
    </dxf>
    <dxf>
      <font>
        <color theme="0"/>
      </font>
      <numFmt numFmtId="30" formatCode="@"/>
    </dxf>
    <dxf>
      <font>
        <color theme="0"/>
      </font>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theme" Target="theme/theme1.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eetMetadata" Target="metadata.xml"/><Relationship Id="rId4" Type="http://schemas.openxmlformats.org/officeDocument/2006/relationships/worksheet" Target="worksheets/sheet4.xml"/><Relationship Id="rId9" Type="http://schemas.openxmlformats.org/officeDocument/2006/relationships/sharedStrings" Target="sharedStrings.xml"/><Relationship Id="rId14"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7</xdr:col>
      <xdr:colOff>673100</xdr:colOff>
      <xdr:row>75</xdr:row>
      <xdr:rowOff>127000</xdr:rowOff>
    </xdr:from>
    <xdr:to>
      <xdr:col>13</xdr:col>
      <xdr:colOff>127000</xdr:colOff>
      <xdr:row>86</xdr:row>
      <xdr:rowOff>152400</xdr:rowOff>
    </xdr:to>
    <xdr:sp macro="" textlink="">
      <xdr:nvSpPr>
        <xdr:cNvPr id="2" name="Ellipsi 1">
          <a:extLst>
            <a:ext uri="{FF2B5EF4-FFF2-40B4-BE49-F238E27FC236}">
              <a16:creationId xmlns:a16="http://schemas.microsoft.com/office/drawing/2014/main" id="{F5E41A56-F4C1-D40F-DA99-6FA5D6B88A88}"/>
            </a:ext>
          </a:extLst>
        </xdr:cNvPr>
        <xdr:cNvSpPr/>
      </xdr:nvSpPr>
      <xdr:spPr>
        <a:xfrm>
          <a:off x="11315700" y="19710400"/>
          <a:ext cx="4406900" cy="2260600"/>
        </a:xfrm>
        <a:prstGeom prst="ellipse">
          <a:avLst/>
        </a:prstGeom>
      </xdr:spPr>
      <xdr:style>
        <a:lnRef idx="3">
          <a:schemeClr val="lt1"/>
        </a:lnRef>
        <a:fillRef idx="1">
          <a:schemeClr val="accent3"/>
        </a:fillRef>
        <a:effectRef idx="1">
          <a:schemeClr val="accent3"/>
        </a:effectRef>
        <a:fontRef idx="minor">
          <a:schemeClr val="lt1"/>
        </a:fontRef>
      </xdr:style>
      <xdr:txBody>
        <a:bodyPr vertOverflow="clip" horzOverflow="clip" rtlCol="0" anchor="ctr"/>
        <a:lstStyle/>
        <a:p>
          <a:pPr algn="ctr"/>
          <a:r>
            <a:rPr lang="fi-FI" sz="1600">
              <a:solidFill>
                <a:schemeClr val="bg2">
                  <a:lumMod val="50000"/>
                </a:schemeClr>
              </a:solidFill>
            </a:rPr>
            <a:t>Kun</a:t>
          </a:r>
          <a:r>
            <a:rPr lang="fi-FI" sz="1600" baseline="0">
              <a:solidFill>
                <a:schemeClr val="bg2">
                  <a:lumMod val="50000"/>
                </a:schemeClr>
              </a:solidFill>
            </a:rPr>
            <a:t> olet syöttänyt kaikki sinua koskevat kulut, voit siirtyä seuraavalle välilehdelle "Ajankäyttö".</a:t>
          </a:r>
          <a:endParaRPr lang="fi-FI" sz="1800">
            <a:solidFill>
              <a:schemeClr val="bg2">
                <a:lumMod val="50000"/>
              </a:schemeClr>
            </a:solidFill>
          </a:endParaRPr>
        </a:p>
      </xdr:txBody>
    </xdr:sp>
    <xdr:clientData/>
  </xdr:twoCellAnchor>
  <xdr:twoCellAnchor>
    <xdr:from>
      <xdr:col>2</xdr:col>
      <xdr:colOff>1524000</xdr:colOff>
      <xdr:row>0</xdr:row>
      <xdr:rowOff>139700</xdr:rowOff>
    </xdr:from>
    <xdr:to>
      <xdr:col>6</xdr:col>
      <xdr:colOff>355600</xdr:colOff>
      <xdr:row>1</xdr:row>
      <xdr:rowOff>78316</xdr:rowOff>
    </xdr:to>
    <xdr:grpSp>
      <xdr:nvGrpSpPr>
        <xdr:cNvPr id="5" name="Ryhmä 4">
          <a:extLst>
            <a:ext uri="{FF2B5EF4-FFF2-40B4-BE49-F238E27FC236}">
              <a16:creationId xmlns:a16="http://schemas.microsoft.com/office/drawing/2014/main" id="{08623350-4511-3F32-3B30-5742165D24BE}"/>
            </a:ext>
          </a:extLst>
        </xdr:cNvPr>
        <xdr:cNvGrpSpPr>
          <a:grpSpLocks noChangeAspect="1"/>
        </xdr:cNvGrpSpPr>
      </xdr:nvGrpSpPr>
      <xdr:grpSpPr>
        <a:xfrm>
          <a:off x="4839487" y="139700"/>
          <a:ext cx="6620184" cy="1231094"/>
          <a:chOff x="3543300" y="139700"/>
          <a:chExt cx="6629400" cy="1234016"/>
        </a:xfrm>
      </xdr:grpSpPr>
      <xdr:pic>
        <xdr:nvPicPr>
          <xdr:cNvPr id="3" name="Kuva 2">
            <a:extLst>
              <a:ext uri="{FF2B5EF4-FFF2-40B4-BE49-F238E27FC236}">
                <a16:creationId xmlns:a16="http://schemas.microsoft.com/office/drawing/2014/main" id="{AD342003-D8CC-47FF-6ADE-83DEB3463F37}"/>
              </a:ext>
            </a:extLst>
          </xdr:cNvPr>
          <xdr:cNvPicPr>
            <a:picLocks noChangeAspect="1"/>
          </xdr:cNvPicPr>
        </xdr:nvPicPr>
        <xdr:blipFill>
          <a:blip xmlns:r="http://schemas.openxmlformats.org/officeDocument/2006/relationships" r:embed="rId1"/>
          <a:stretch>
            <a:fillRect/>
          </a:stretch>
        </xdr:blipFill>
        <xdr:spPr>
          <a:xfrm>
            <a:off x="3543300" y="312208"/>
            <a:ext cx="1312018" cy="889000"/>
          </a:xfrm>
          <a:prstGeom prst="rect">
            <a:avLst/>
          </a:prstGeom>
        </xdr:spPr>
      </xdr:pic>
      <xdr:pic>
        <xdr:nvPicPr>
          <xdr:cNvPr id="4" name="Kuva 3">
            <a:extLst>
              <a:ext uri="{FF2B5EF4-FFF2-40B4-BE49-F238E27FC236}">
                <a16:creationId xmlns:a16="http://schemas.microsoft.com/office/drawing/2014/main" id="{CEDE1DAB-8A40-B5DD-46B5-AD4F5616B06E}"/>
              </a:ext>
            </a:extLst>
          </xdr:cNvPr>
          <xdr:cNvPicPr>
            <a:picLocks noChangeAspect="1"/>
          </xdr:cNvPicPr>
        </xdr:nvPicPr>
        <xdr:blipFill>
          <a:blip xmlns:r="http://schemas.openxmlformats.org/officeDocument/2006/relationships" r:embed="rId2"/>
          <a:stretch>
            <a:fillRect/>
          </a:stretch>
        </xdr:blipFill>
        <xdr:spPr>
          <a:xfrm>
            <a:off x="5323766" y="139700"/>
            <a:ext cx="4848934" cy="1234016"/>
          </a:xfrm>
          <a:prstGeom prst="rect">
            <a:avLst/>
          </a:prstGeom>
        </xdr:spPr>
      </xdr:pic>
    </xdr:grpSp>
    <xdr:clientData/>
  </xdr:twoCellAnchor>
  <xdr:twoCellAnchor>
    <xdr:from>
      <xdr:col>8</xdr:col>
      <xdr:colOff>203200</xdr:colOff>
      <xdr:row>61</xdr:row>
      <xdr:rowOff>88900</xdr:rowOff>
    </xdr:from>
    <xdr:to>
      <xdr:col>12</xdr:col>
      <xdr:colOff>609600</xdr:colOff>
      <xdr:row>72</xdr:row>
      <xdr:rowOff>177800</xdr:rowOff>
    </xdr:to>
    <xdr:sp macro="" textlink="J66">
      <xdr:nvSpPr>
        <xdr:cNvPr id="8" name="Ellipsi 7">
          <a:extLst>
            <a:ext uri="{FF2B5EF4-FFF2-40B4-BE49-F238E27FC236}">
              <a16:creationId xmlns:a16="http://schemas.microsoft.com/office/drawing/2014/main" id="{9209FA25-4779-AD46-AB78-A735236C53B6}"/>
            </a:ext>
          </a:extLst>
        </xdr:cNvPr>
        <xdr:cNvSpPr/>
      </xdr:nvSpPr>
      <xdr:spPr>
        <a:xfrm>
          <a:off x="11671300" y="16827500"/>
          <a:ext cx="3708400" cy="2324100"/>
        </a:xfrm>
        <a:prstGeom prst="ellipse">
          <a:avLst/>
        </a:prstGeom>
      </xdr:spPr>
      <xdr:style>
        <a:lnRef idx="3">
          <a:schemeClr val="lt1"/>
        </a:lnRef>
        <a:fillRef idx="1">
          <a:schemeClr val="accent4"/>
        </a:fillRef>
        <a:effectRef idx="1">
          <a:schemeClr val="accent4"/>
        </a:effectRef>
        <a:fontRef idx="minor">
          <a:schemeClr val="lt1"/>
        </a:fontRef>
      </xdr:style>
      <xdr:txBody>
        <a:bodyPr vertOverflow="clip" horzOverflow="clip" rtlCol="0" anchor="ctr"/>
        <a:lstStyle/>
        <a:p>
          <a:pPr algn="ctr"/>
          <a:fld id="{1482AB49-77C1-924A-A6D2-85D1918A107C}" type="TxLink">
            <a:rPr lang="en-US" sz="1400" b="0" i="0" u="none" strike="noStrike">
              <a:solidFill>
                <a:srgbClr val="232727"/>
              </a:solidFill>
              <a:latin typeface="Aptos Narrow"/>
            </a:rPr>
            <a:pPr algn="ctr"/>
            <a:t>Syötettyjen kulujen yhteissumma: 0,00 €</a:t>
          </a:fld>
          <a:endParaRPr lang="fi-FI" sz="1800">
            <a:solidFill>
              <a:schemeClr val="bg2">
                <a:lumMod val="50000"/>
              </a:schemeClr>
            </a:solidFill>
          </a:endParaRPr>
        </a:p>
      </xdr:txBody>
    </xdr:sp>
    <xdr:clientData/>
  </xdr:twoCellAnchor>
  <xdr:twoCellAnchor>
    <xdr:from>
      <xdr:col>4</xdr:col>
      <xdr:colOff>0</xdr:colOff>
      <xdr:row>4</xdr:row>
      <xdr:rowOff>0</xdr:rowOff>
    </xdr:from>
    <xdr:to>
      <xdr:col>6</xdr:col>
      <xdr:colOff>0</xdr:colOff>
      <xdr:row>9</xdr:row>
      <xdr:rowOff>0</xdr:rowOff>
    </xdr:to>
    <xdr:sp macro="" textlink="">
      <xdr:nvSpPr>
        <xdr:cNvPr id="7" name="Kuvatekstipilvi 6">
          <a:extLst>
            <a:ext uri="{FF2B5EF4-FFF2-40B4-BE49-F238E27FC236}">
              <a16:creationId xmlns:a16="http://schemas.microsoft.com/office/drawing/2014/main" id="{99C0BDF1-E891-7311-A902-B7F24DBD406D}"/>
            </a:ext>
          </a:extLst>
        </xdr:cNvPr>
        <xdr:cNvSpPr/>
      </xdr:nvSpPr>
      <xdr:spPr>
        <a:xfrm>
          <a:off x="7545917" y="2984500"/>
          <a:ext cx="3577166" cy="1926167"/>
        </a:xfrm>
        <a:prstGeom prst="cloudCallout">
          <a:avLst>
            <a:gd name="adj1" fmla="val -82040"/>
            <a:gd name="adj2" fmla="val -58300"/>
          </a:avLst>
        </a:prstGeom>
      </xdr:spPr>
      <xdr:style>
        <a:lnRef idx="3">
          <a:schemeClr val="lt1"/>
        </a:lnRef>
        <a:fillRef idx="1">
          <a:schemeClr val="accent3"/>
        </a:fillRef>
        <a:effectRef idx="1">
          <a:schemeClr val="accent3"/>
        </a:effectRef>
        <a:fontRef idx="minor">
          <a:schemeClr val="lt1"/>
        </a:fontRef>
      </xdr:style>
      <xdr:txBody>
        <a:bodyPr vertOverflow="clip" horzOverflow="clip" rtlCol="0" anchor="ctr"/>
        <a:lstStyle/>
        <a:p>
          <a:pPr algn="ctr"/>
          <a:r>
            <a:rPr lang="fi-FI" sz="1100">
              <a:solidFill>
                <a:schemeClr val="bg2">
                  <a:lumMod val="50000"/>
                </a:schemeClr>
              </a:solidFill>
            </a:rPr>
            <a:t>Tummalla pohjalla</a:t>
          </a:r>
          <a:r>
            <a:rPr lang="fi-FI" sz="1100" baseline="0">
              <a:solidFill>
                <a:schemeClr val="bg2">
                  <a:lumMod val="50000"/>
                </a:schemeClr>
              </a:solidFill>
            </a:rPr>
            <a:t> näkyvät valikot avautuvat, kun klikkaat ensin tekstiä ja sitten oikealle puolelle ilmestyvää nuolta. Avautuvasta valikosta voit sitten valita haluamasi vaihtoehdon.</a:t>
          </a:r>
        </a:p>
      </xdr:txBody>
    </xdr:sp>
    <xdr:clientData/>
  </xdr:twoCellAnchor>
  <xdr:twoCellAnchor>
    <xdr:from>
      <xdr:col>7</xdr:col>
      <xdr:colOff>100504</xdr:colOff>
      <xdr:row>26</xdr:row>
      <xdr:rowOff>109639</xdr:rowOff>
    </xdr:from>
    <xdr:to>
      <xdr:col>12</xdr:col>
      <xdr:colOff>395893</xdr:colOff>
      <xdr:row>36</xdr:row>
      <xdr:rowOff>108467</xdr:rowOff>
    </xdr:to>
    <xdr:sp macro="" textlink="">
      <xdr:nvSpPr>
        <xdr:cNvPr id="6" name="Ellipsi 5">
          <a:extLst>
            <a:ext uri="{FF2B5EF4-FFF2-40B4-BE49-F238E27FC236}">
              <a16:creationId xmlns:a16="http://schemas.microsoft.com/office/drawing/2014/main" id="{FAD650FE-EC6B-CF41-8F44-E5385DAE4DD5}"/>
            </a:ext>
          </a:extLst>
        </xdr:cNvPr>
        <xdr:cNvSpPr/>
      </xdr:nvSpPr>
      <xdr:spPr>
        <a:xfrm>
          <a:off x="12033022" y="9456474"/>
          <a:ext cx="4406900" cy="2237317"/>
        </a:xfrm>
        <a:prstGeom prst="ellipse">
          <a:avLst/>
        </a:prstGeom>
      </xdr:spPr>
      <xdr:style>
        <a:lnRef idx="3">
          <a:schemeClr val="lt1"/>
        </a:lnRef>
        <a:fillRef idx="1">
          <a:schemeClr val="accent3"/>
        </a:fillRef>
        <a:effectRef idx="1">
          <a:schemeClr val="accent3"/>
        </a:effectRef>
        <a:fontRef idx="minor">
          <a:schemeClr val="lt1"/>
        </a:fontRef>
      </xdr:style>
      <xdr:txBody>
        <a:bodyPr vertOverflow="clip" horzOverflow="clip" rtlCol="0" anchor="ctr"/>
        <a:lstStyle/>
        <a:p>
          <a:pPr algn="ctr"/>
          <a:r>
            <a:rPr lang="fi-FI" sz="1600">
              <a:solidFill>
                <a:schemeClr val="bg2">
                  <a:lumMod val="50000"/>
                </a:schemeClr>
              </a:solidFill>
            </a:rPr>
            <a:t>Jos syötät</a:t>
          </a:r>
          <a:r>
            <a:rPr lang="fi-FI" sz="1600" baseline="0">
              <a:solidFill>
                <a:schemeClr val="bg2">
                  <a:lumMod val="50000"/>
                </a:schemeClr>
              </a:solidFill>
            </a:rPr>
            <a:t> materiaalikulut yhtenä summana, ne jaetaan tasan kaikkien tuotteiden/palvelujen kesken.</a:t>
          </a:r>
          <a:endParaRPr lang="fi-FI" sz="1800">
            <a:solidFill>
              <a:schemeClr val="bg2">
                <a:lumMod val="50000"/>
              </a:schemeClr>
            </a:solidFill>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6</xdr:col>
      <xdr:colOff>593309</xdr:colOff>
      <xdr:row>35</xdr:row>
      <xdr:rowOff>97879</xdr:rowOff>
    </xdr:from>
    <xdr:to>
      <xdr:col>11</xdr:col>
      <xdr:colOff>0</xdr:colOff>
      <xdr:row>46</xdr:row>
      <xdr:rowOff>205252</xdr:rowOff>
    </xdr:to>
    <xdr:sp macro="" textlink="">
      <xdr:nvSpPr>
        <xdr:cNvPr id="7" name="Ellipsi 6">
          <a:extLst>
            <a:ext uri="{FF2B5EF4-FFF2-40B4-BE49-F238E27FC236}">
              <a16:creationId xmlns:a16="http://schemas.microsoft.com/office/drawing/2014/main" id="{50A86E10-05B4-3948-BDF8-15BA791F1CC2}"/>
            </a:ext>
          </a:extLst>
        </xdr:cNvPr>
        <xdr:cNvSpPr/>
      </xdr:nvSpPr>
      <xdr:spPr>
        <a:xfrm>
          <a:off x="9278056" y="10116768"/>
          <a:ext cx="3819621" cy="2390807"/>
        </a:xfrm>
        <a:prstGeom prst="ellipse">
          <a:avLst/>
        </a:prstGeom>
      </xdr:spPr>
      <xdr:style>
        <a:lnRef idx="3">
          <a:schemeClr val="lt1"/>
        </a:lnRef>
        <a:fillRef idx="1">
          <a:schemeClr val="accent3"/>
        </a:fillRef>
        <a:effectRef idx="1">
          <a:schemeClr val="accent3"/>
        </a:effectRef>
        <a:fontRef idx="minor">
          <a:schemeClr val="lt1"/>
        </a:fontRef>
      </xdr:style>
      <xdr:txBody>
        <a:bodyPr vertOverflow="clip" horzOverflow="clip" rtlCol="0" anchor="ctr"/>
        <a:lstStyle/>
        <a:p>
          <a:pPr algn="ctr"/>
          <a:r>
            <a:rPr lang="fi-FI" sz="1600">
              <a:solidFill>
                <a:schemeClr val="bg2">
                  <a:lumMod val="50000"/>
                </a:schemeClr>
              </a:solidFill>
            </a:rPr>
            <a:t>Kun</a:t>
          </a:r>
          <a:r>
            <a:rPr lang="fi-FI" sz="1600" baseline="0">
              <a:solidFill>
                <a:schemeClr val="bg2">
                  <a:lumMod val="50000"/>
                </a:schemeClr>
              </a:solidFill>
            </a:rPr>
            <a:t> olet täyttänyt kaikki kohdat, voit siirtyä seuraavalle välilehdelle suunnittelemaan myyntiä!</a:t>
          </a:r>
          <a:endParaRPr lang="fi-FI" sz="1800">
            <a:solidFill>
              <a:schemeClr val="bg2">
                <a:lumMod val="50000"/>
              </a:schemeClr>
            </a:solidFill>
          </a:endParaRPr>
        </a:p>
      </xdr:txBody>
    </xdr:sp>
    <xdr:clientData/>
  </xdr:twoCellAnchor>
  <xdr:twoCellAnchor>
    <xdr:from>
      <xdr:col>8</xdr:col>
      <xdr:colOff>800100</xdr:colOff>
      <xdr:row>45</xdr:row>
      <xdr:rowOff>99034</xdr:rowOff>
    </xdr:from>
    <xdr:to>
      <xdr:col>13</xdr:col>
      <xdr:colOff>800100</xdr:colOff>
      <xdr:row>57</xdr:row>
      <xdr:rowOff>114300</xdr:rowOff>
    </xdr:to>
    <xdr:sp macro="" textlink="">
      <xdr:nvSpPr>
        <xdr:cNvPr id="2" name="Ellipsi 1">
          <a:extLst>
            <a:ext uri="{FF2B5EF4-FFF2-40B4-BE49-F238E27FC236}">
              <a16:creationId xmlns:a16="http://schemas.microsoft.com/office/drawing/2014/main" id="{7FC00C87-1000-6741-841C-CC16968BCFFC}"/>
            </a:ext>
          </a:extLst>
        </xdr:cNvPr>
        <xdr:cNvSpPr/>
      </xdr:nvSpPr>
      <xdr:spPr>
        <a:xfrm>
          <a:off x="11455400" y="12100534"/>
          <a:ext cx="4127500" cy="2453666"/>
        </a:xfrm>
        <a:prstGeom prst="ellipse">
          <a:avLst/>
        </a:prstGeom>
      </xdr:spPr>
      <xdr:style>
        <a:lnRef idx="3">
          <a:schemeClr val="lt1"/>
        </a:lnRef>
        <a:fillRef idx="1">
          <a:schemeClr val="accent3"/>
        </a:fillRef>
        <a:effectRef idx="1">
          <a:schemeClr val="accent3"/>
        </a:effectRef>
        <a:fontRef idx="minor">
          <a:schemeClr val="lt1"/>
        </a:fontRef>
      </xdr:style>
      <xdr:txBody>
        <a:bodyPr vertOverflow="clip" horzOverflow="clip" rtlCol="0" anchor="ctr"/>
        <a:lstStyle/>
        <a:p>
          <a:pPr algn="ctr"/>
          <a:r>
            <a:rPr lang="en-US" sz="1600">
              <a:solidFill>
                <a:schemeClr val="bg2">
                  <a:lumMod val="50000"/>
                </a:schemeClr>
              </a:solidFill>
            </a:rPr>
            <a:t>Seuraavalta</a:t>
          </a:r>
          <a:r>
            <a:rPr lang="en-US" sz="1600" baseline="0">
              <a:solidFill>
                <a:schemeClr val="bg2">
                  <a:lumMod val="50000"/>
                </a:schemeClr>
              </a:solidFill>
            </a:rPr>
            <a:t> välilehdeltä näet, kuinka suureen myyntimäärään aika riittää.</a:t>
          </a:r>
          <a:endParaRPr lang="en-US" sz="1200"/>
        </a:p>
      </xdr:txBody>
    </xdr:sp>
    <xdr:clientData/>
  </xdr:twoCellAnchor>
  <xdr:twoCellAnchor>
    <xdr:from>
      <xdr:col>1</xdr:col>
      <xdr:colOff>1529388</xdr:colOff>
      <xdr:row>0</xdr:row>
      <xdr:rowOff>0</xdr:rowOff>
    </xdr:from>
    <xdr:to>
      <xdr:col>7</xdr:col>
      <xdr:colOff>0</xdr:colOff>
      <xdr:row>0</xdr:row>
      <xdr:rowOff>1234016</xdr:rowOff>
    </xdr:to>
    <xdr:grpSp>
      <xdr:nvGrpSpPr>
        <xdr:cNvPr id="6" name="Ryhmä 5">
          <a:extLst>
            <a:ext uri="{FF2B5EF4-FFF2-40B4-BE49-F238E27FC236}">
              <a16:creationId xmlns:a16="http://schemas.microsoft.com/office/drawing/2014/main" id="{ACE4FA72-0C75-F94E-A7C4-4D4CD293ABF2}"/>
            </a:ext>
          </a:extLst>
        </xdr:cNvPr>
        <xdr:cNvGrpSpPr>
          <a:grpSpLocks noChangeAspect="1"/>
        </xdr:cNvGrpSpPr>
      </xdr:nvGrpSpPr>
      <xdr:grpSpPr>
        <a:xfrm>
          <a:off x="3027988" y="0"/>
          <a:ext cx="6649412" cy="1234016"/>
          <a:chOff x="3543300" y="139700"/>
          <a:chExt cx="6629400" cy="1234016"/>
        </a:xfrm>
      </xdr:grpSpPr>
      <xdr:pic>
        <xdr:nvPicPr>
          <xdr:cNvPr id="8" name="Kuva 7">
            <a:extLst>
              <a:ext uri="{FF2B5EF4-FFF2-40B4-BE49-F238E27FC236}">
                <a16:creationId xmlns:a16="http://schemas.microsoft.com/office/drawing/2014/main" id="{3B6FA5DA-53F9-5932-BD8A-487F9F45AC37}"/>
              </a:ext>
            </a:extLst>
          </xdr:cNvPr>
          <xdr:cNvPicPr>
            <a:picLocks noChangeAspect="1"/>
          </xdr:cNvPicPr>
        </xdr:nvPicPr>
        <xdr:blipFill>
          <a:blip xmlns:r="http://schemas.openxmlformats.org/officeDocument/2006/relationships" r:embed="rId1"/>
          <a:stretch>
            <a:fillRect/>
          </a:stretch>
        </xdr:blipFill>
        <xdr:spPr>
          <a:xfrm>
            <a:off x="3543300" y="312208"/>
            <a:ext cx="1312018" cy="889000"/>
          </a:xfrm>
          <a:prstGeom prst="rect">
            <a:avLst/>
          </a:prstGeom>
        </xdr:spPr>
      </xdr:pic>
      <xdr:pic>
        <xdr:nvPicPr>
          <xdr:cNvPr id="9" name="Kuva 8">
            <a:extLst>
              <a:ext uri="{FF2B5EF4-FFF2-40B4-BE49-F238E27FC236}">
                <a16:creationId xmlns:a16="http://schemas.microsoft.com/office/drawing/2014/main" id="{51A71692-5810-B2F8-578B-8D763B468A93}"/>
              </a:ext>
            </a:extLst>
          </xdr:cNvPr>
          <xdr:cNvPicPr>
            <a:picLocks noChangeAspect="1"/>
          </xdr:cNvPicPr>
        </xdr:nvPicPr>
        <xdr:blipFill>
          <a:blip xmlns:r="http://schemas.openxmlformats.org/officeDocument/2006/relationships" r:embed="rId2"/>
          <a:stretch>
            <a:fillRect/>
          </a:stretch>
        </xdr:blipFill>
        <xdr:spPr>
          <a:xfrm>
            <a:off x="5323766" y="139700"/>
            <a:ext cx="4848934" cy="1234016"/>
          </a:xfrm>
          <a:prstGeom prst="rect">
            <a:avLst/>
          </a:prstGeom>
        </xdr:spPr>
      </xdr:pic>
    </xdr:grpSp>
    <xdr:clientData/>
  </xdr:twoCellAnchor>
</xdr:wsDr>
</file>

<file path=xl/drawings/drawing3.xml><?xml version="1.0" encoding="utf-8"?>
<xdr:wsDr xmlns:xdr="http://schemas.openxmlformats.org/drawingml/2006/spreadsheetDrawing" xmlns:a="http://schemas.openxmlformats.org/drawingml/2006/main">
  <xdr:twoCellAnchor>
    <xdr:from>
      <xdr:col>7</xdr:col>
      <xdr:colOff>761418</xdr:colOff>
      <xdr:row>3</xdr:row>
      <xdr:rowOff>152400</xdr:rowOff>
    </xdr:from>
    <xdr:to>
      <xdr:col>12</xdr:col>
      <xdr:colOff>761417</xdr:colOff>
      <xdr:row>13</xdr:row>
      <xdr:rowOff>190500</xdr:rowOff>
    </xdr:to>
    <xdr:sp macro="" textlink="">
      <xdr:nvSpPr>
        <xdr:cNvPr id="2" name="Ellipsi 1">
          <a:extLst>
            <a:ext uri="{FF2B5EF4-FFF2-40B4-BE49-F238E27FC236}">
              <a16:creationId xmlns:a16="http://schemas.microsoft.com/office/drawing/2014/main" id="{3404703B-0E5F-0F4B-8C4D-A8C0B435C21C}"/>
            </a:ext>
          </a:extLst>
        </xdr:cNvPr>
        <xdr:cNvSpPr/>
      </xdr:nvSpPr>
      <xdr:spPr>
        <a:xfrm>
          <a:off x="10432060" y="3449739"/>
          <a:ext cx="4136238" cy="2018834"/>
        </a:xfrm>
        <a:prstGeom prst="ellipse">
          <a:avLst/>
        </a:prstGeom>
      </xdr:spPr>
      <xdr:style>
        <a:lnRef idx="3">
          <a:schemeClr val="lt1"/>
        </a:lnRef>
        <a:fillRef idx="1">
          <a:schemeClr val="accent3"/>
        </a:fillRef>
        <a:effectRef idx="1">
          <a:schemeClr val="accent3"/>
        </a:effectRef>
        <a:fontRef idx="minor">
          <a:schemeClr val="lt1"/>
        </a:fontRef>
      </xdr:style>
      <xdr:txBody>
        <a:bodyPr vertOverflow="clip" horzOverflow="clip" rtlCol="0" anchor="ctr"/>
        <a:lstStyle/>
        <a:p>
          <a:pPr algn="ctr"/>
          <a:r>
            <a:rPr lang="fi-FI" sz="1600">
              <a:solidFill>
                <a:schemeClr val="bg2">
                  <a:lumMod val="50000"/>
                </a:schemeClr>
              </a:solidFill>
            </a:rPr>
            <a:t>Kun</a:t>
          </a:r>
          <a:r>
            <a:rPr lang="fi-FI" sz="1600" baseline="0">
              <a:solidFill>
                <a:schemeClr val="bg2">
                  <a:lumMod val="50000"/>
                </a:schemeClr>
              </a:solidFill>
            </a:rPr>
            <a:t> olet täyttänyt sinua koskevat kohdat, voit siirtyä seuraavalle välilehdelle "Hinnat"</a:t>
          </a:r>
          <a:endParaRPr lang="fi-FI" sz="1800">
            <a:solidFill>
              <a:schemeClr val="bg2">
                <a:lumMod val="50000"/>
              </a:schemeClr>
            </a:solidFill>
          </a:endParaRPr>
        </a:p>
      </xdr:txBody>
    </xdr:sp>
    <xdr:clientData/>
  </xdr:twoCellAnchor>
  <xdr:twoCellAnchor>
    <xdr:from>
      <xdr:col>8</xdr:col>
      <xdr:colOff>826665</xdr:colOff>
      <xdr:row>31</xdr:row>
      <xdr:rowOff>40197</xdr:rowOff>
    </xdr:from>
    <xdr:to>
      <xdr:col>13</xdr:col>
      <xdr:colOff>50218</xdr:colOff>
      <xdr:row>41</xdr:row>
      <xdr:rowOff>27497</xdr:rowOff>
    </xdr:to>
    <xdr:sp macro="" textlink="$K$35">
      <xdr:nvSpPr>
        <xdr:cNvPr id="3" name="Ellipsi 2">
          <a:extLst>
            <a:ext uri="{FF2B5EF4-FFF2-40B4-BE49-F238E27FC236}">
              <a16:creationId xmlns:a16="http://schemas.microsoft.com/office/drawing/2014/main" id="{FD252B2A-E06A-3FA4-4514-31A41E3BA642}"/>
            </a:ext>
          </a:extLst>
        </xdr:cNvPr>
        <xdr:cNvSpPr/>
      </xdr:nvSpPr>
      <xdr:spPr>
        <a:xfrm>
          <a:off x="11324555" y="8883591"/>
          <a:ext cx="3359791" cy="1968034"/>
        </a:xfrm>
        <a:prstGeom prst="ellipse">
          <a:avLst/>
        </a:prstGeom>
      </xdr:spPr>
      <xdr:style>
        <a:lnRef idx="3">
          <a:schemeClr val="lt1"/>
        </a:lnRef>
        <a:fillRef idx="1">
          <a:schemeClr val="accent6"/>
        </a:fillRef>
        <a:effectRef idx="1">
          <a:schemeClr val="accent6"/>
        </a:effectRef>
        <a:fontRef idx="minor">
          <a:schemeClr val="lt1"/>
        </a:fontRef>
      </xdr:style>
      <xdr:txBody>
        <a:bodyPr vertOverflow="clip" horzOverflow="clip" rtlCol="0" anchor="ctr"/>
        <a:lstStyle/>
        <a:p>
          <a:pPr algn="ctr"/>
          <a:fld id="{43A71223-EFB5-A449-AE84-7B7FCE608CD5}" type="TxLink">
            <a:rPr lang="en-US" sz="1600" b="1" i="0" u="none" strike="noStrike">
              <a:solidFill>
                <a:srgbClr val="232727"/>
              </a:solidFill>
              <a:latin typeface="Aptos Narrow"/>
            </a:rPr>
            <a:pPr algn="ctr"/>
            <a:t>Muista täyttää voittotavoite!</a:t>
          </a:fld>
          <a:endParaRPr lang="fi-FI" sz="1400" b="1"/>
        </a:p>
      </xdr:txBody>
    </xdr:sp>
    <xdr:clientData/>
  </xdr:twoCellAnchor>
  <xdr:twoCellAnchor>
    <xdr:from>
      <xdr:col>2</xdr:col>
      <xdr:colOff>279400</xdr:colOff>
      <xdr:row>0</xdr:row>
      <xdr:rowOff>61384</xdr:rowOff>
    </xdr:from>
    <xdr:to>
      <xdr:col>9</xdr:col>
      <xdr:colOff>0</xdr:colOff>
      <xdr:row>1</xdr:row>
      <xdr:rowOff>0</xdr:rowOff>
    </xdr:to>
    <xdr:grpSp>
      <xdr:nvGrpSpPr>
        <xdr:cNvPr id="7" name="Ryhmä 6">
          <a:extLst>
            <a:ext uri="{FF2B5EF4-FFF2-40B4-BE49-F238E27FC236}">
              <a16:creationId xmlns:a16="http://schemas.microsoft.com/office/drawing/2014/main" id="{41306D5C-2C48-114A-A485-9F3F5FA9792D}"/>
            </a:ext>
          </a:extLst>
        </xdr:cNvPr>
        <xdr:cNvGrpSpPr>
          <a:grpSpLocks noChangeAspect="1"/>
        </xdr:cNvGrpSpPr>
      </xdr:nvGrpSpPr>
      <xdr:grpSpPr>
        <a:xfrm>
          <a:off x="4695272" y="61384"/>
          <a:ext cx="6629866" cy="1231919"/>
          <a:chOff x="3543300" y="139700"/>
          <a:chExt cx="6629400" cy="1234016"/>
        </a:xfrm>
      </xdr:grpSpPr>
      <xdr:pic>
        <xdr:nvPicPr>
          <xdr:cNvPr id="8" name="Kuva 7">
            <a:extLst>
              <a:ext uri="{FF2B5EF4-FFF2-40B4-BE49-F238E27FC236}">
                <a16:creationId xmlns:a16="http://schemas.microsoft.com/office/drawing/2014/main" id="{3DBE9D43-9976-D943-0852-3B5E00AFD48A}"/>
              </a:ext>
            </a:extLst>
          </xdr:cNvPr>
          <xdr:cNvPicPr>
            <a:picLocks noChangeAspect="1"/>
          </xdr:cNvPicPr>
        </xdr:nvPicPr>
        <xdr:blipFill>
          <a:blip xmlns:r="http://schemas.openxmlformats.org/officeDocument/2006/relationships" r:embed="rId1"/>
          <a:stretch>
            <a:fillRect/>
          </a:stretch>
        </xdr:blipFill>
        <xdr:spPr>
          <a:xfrm>
            <a:off x="3543300" y="312208"/>
            <a:ext cx="1312018" cy="889000"/>
          </a:xfrm>
          <a:prstGeom prst="rect">
            <a:avLst/>
          </a:prstGeom>
        </xdr:spPr>
      </xdr:pic>
      <xdr:pic>
        <xdr:nvPicPr>
          <xdr:cNvPr id="9" name="Kuva 8">
            <a:extLst>
              <a:ext uri="{FF2B5EF4-FFF2-40B4-BE49-F238E27FC236}">
                <a16:creationId xmlns:a16="http://schemas.microsoft.com/office/drawing/2014/main" id="{15848544-DC80-9B15-736B-7A926DEB533C}"/>
              </a:ext>
            </a:extLst>
          </xdr:cNvPr>
          <xdr:cNvPicPr>
            <a:picLocks noChangeAspect="1"/>
          </xdr:cNvPicPr>
        </xdr:nvPicPr>
        <xdr:blipFill>
          <a:blip xmlns:r="http://schemas.openxmlformats.org/officeDocument/2006/relationships" r:embed="rId2"/>
          <a:stretch>
            <a:fillRect/>
          </a:stretch>
        </xdr:blipFill>
        <xdr:spPr>
          <a:xfrm>
            <a:off x="5323766" y="139700"/>
            <a:ext cx="4848934" cy="1234016"/>
          </a:xfrm>
          <a:prstGeom prst="rect">
            <a:avLst/>
          </a:prstGeom>
        </xdr:spPr>
      </xdr:pic>
    </xdr:grpSp>
    <xdr:clientData/>
  </xdr:twoCellAnchor>
  <xdr:twoCellAnchor>
    <xdr:from>
      <xdr:col>10</xdr:col>
      <xdr:colOff>641757</xdr:colOff>
      <xdr:row>17</xdr:row>
      <xdr:rowOff>69910</xdr:rowOff>
    </xdr:from>
    <xdr:to>
      <xdr:col>14</xdr:col>
      <xdr:colOff>692557</xdr:colOff>
      <xdr:row>27</xdr:row>
      <xdr:rowOff>62336</xdr:rowOff>
    </xdr:to>
    <xdr:sp macro="" textlink="$M$23">
      <xdr:nvSpPr>
        <xdr:cNvPr id="10" name="Kuvatekstisoikio 9">
          <a:extLst>
            <a:ext uri="{FF2B5EF4-FFF2-40B4-BE49-F238E27FC236}">
              <a16:creationId xmlns:a16="http://schemas.microsoft.com/office/drawing/2014/main" id="{18A59A17-9F22-F241-9D65-8723D2C2E4B6}"/>
            </a:ext>
          </a:extLst>
        </xdr:cNvPr>
        <xdr:cNvSpPr/>
      </xdr:nvSpPr>
      <xdr:spPr>
        <a:xfrm>
          <a:off x="12794142" y="6140277"/>
          <a:ext cx="3359791" cy="1973160"/>
        </a:xfrm>
        <a:prstGeom prst="wedgeEllipseCallout">
          <a:avLst/>
        </a:prstGeom>
      </xdr:spPr>
      <xdr:style>
        <a:lnRef idx="3">
          <a:schemeClr val="lt1"/>
        </a:lnRef>
        <a:fillRef idx="1">
          <a:schemeClr val="accent6"/>
        </a:fillRef>
        <a:effectRef idx="1">
          <a:schemeClr val="accent6"/>
        </a:effectRef>
        <a:fontRef idx="minor">
          <a:schemeClr val="lt1"/>
        </a:fontRef>
      </xdr:style>
      <xdr:txBody>
        <a:bodyPr vertOverflow="clip" horzOverflow="clip" rtlCol="0" anchor="ctr"/>
        <a:lstStyle/>
        <a:p>
          <a:pPr algn="ctr"/>
          <a:fld id="{B6D20421-58A5-3046-B4FF-E00DA65342C9}" type="TxLink">
            <a:rPr lang="en-US" sz="1600" b="1" i="0" u="none" strike="noStrike">
              <a:solidFill>
                <a:srgbClr val="232727"/>
              </a:solidFill>
              <a:latin typeface="Aptos Narrow"/>
            </a:rPr>
            <a:pPr algn="ctr"/>
            <a:t>Aika näyttää riittävän!</a:t>
          </a:fld>
          <a:endParaRPr lang="fi-FI" sz="1800" b="1"/>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1</xdr:col>
      <xdr:colOff>50800</xdr:colOff>
      <xdr:row>0</xdr:row>
      <xdr:rowOff>48684</xdr:rowOff>
    </xdr:from>
    <xdr:to>
      <xdr:col>5</xdr:col>
      <xdr:colOff>431800</xdr:colOff>
      <xdr:row>0</xdr:row>
      <xdr:rowOff>1282700</xdr:rowOff>
    </xdr:to>
    <xdr:grpSp>
      <xdr:nvGrpSpPr>
        <xdr:cNvPr id="5" name="Ryhmä 4">
          <a:extLst>
            <a:ext uri="{FF2B5EF4-FFF2-40B4-BE49-F238E27FC236}">
              <a16:creationId xmlns:a16="http://schemas.microsoft.com/office/drawing/2014/main" id="{8E913342-DD0A-F747-8573-17D1BFC17504}"/>
            </a:ext>
          </a:extLst>
        </xdr:cNvPr>
        <xdr:cNvGrpSpPr>
          <a:grpSpLocks noChangeAspect="1"/>
        </xdr:cNvGrpSpPr>
      </xdr:nvGrpSpPr>
      <xdr:grpSpPr>
        <a:xfrm>
          <a:off x="2552700" y="48684"/>
          <a:ext cx="6629400" cy="1234016"/>
          <a:chOff x="3543300" y="139700"/>
          <a:chExt cx="6629400" cy="1234016"/>
        </a:xfrm>
      </xdr:grpSpPr>
      <xdr:pic>
        <xdr:nvPicPr>
          <xdr:cNvPr id="6" name="Kuva 5">
            <a:extLst>
              <a:ext uri="{FF2B5EF4-FFF2-40B4-BE49-F238E27FC236}">
                <a16:creationId xmlns:a16="http://schemas.microsoft.com/office/drawing/2014/main" id="{188A260C-F02E-73C2-35AF-CC5B59432834}"/>
              </a:ext>
            </a:extLst>
          </xdr:cNvPr>
          <xdr:cNvPicPr>
            <a:picLocks noChangeAspect="1"/>
          </xdr:cNvPicPr>
        </xdr:nvPicPr>
        <xdr:blipFill>
          <a:blip xmlns:r="http://schemas.openxmlformats.org/officeDocument/2006/relationships" r:embed="rId1"/>
          <a:stretch>
            <a:fillRect/>
          </a:stretch>
        </xdr:blipFill>
        <xdr:spPr>
          <a:xfrm>
            <a:off x="3543300" y="312208"/>
            <a:ext cx="1312018" cy="889000"/>
          </a:xfrm>
          <a:prstGeom prst="rect">
            <a:avLst/>
          </a:prstGeom>
        </xdr:spPr>
      </xdr:pic>
      <xdr:pic>
        <xdr:nvPicPr>
          <xdr:cNvPr id="7" name="Kuva 6">
            <a:extLst>
              <a:ext uri="{FF2B5EF4-FFF2-40B4-BE49-F238E27FC236}">
                <a16:creationId xmlns:a16="http://schemas.microsoft.com/office/drawing/2014/main" id="{459F7B02-B623-7EBD-13C1-B16F36544DE1}"/>
              </a:ext>
            </a:extLst>
          </xdr:cNvPr>
          <xdr:cNvPicPr>
            <a:picLocks noChangeAspect="1"/>
          </xdr:cNvPicPr>
        </xdr:nvPicPr>
        <xdr:blipFill>
          <a:blip xmlns:r="http://schemas.openxmlformats.org/officeDocument/2006/relationships" r:embed="rId2"/>
          <a:stretch>
            <a:fillRect/>
          </a:stretch>
        </xdr:blipFill>
        <xdr:spPr>
          <a:xfrm>
            <a:off x="5323766" y="139700"/>
            <a:ext cx="4848934" cy="1234016"/>
          </a:xfrm>
          <a:prstGeom prst="rect">
            <a:avLst/>
          </a:prstGeom>
        </xdr:spPr>
      </xdr:pic>
    </xdr:grpSp>
    <xdr:clientData/>
  </xdr:twoCellAnchor>
</xdr:wsDr>
</file>

<file path=xl/theme/theme1.xml><?xml version="1.0" encoding="utf-8"?>
<a:theme xmlns:a="http://schemas.openxmlformats.org/drawingml/2006/main" name="Office-teema">
  <a:themeElements>
    <a:clrScheme name="Ornamo1">
      <a:dk1>
        <a:srgbClr val="7373A8"/>
      </a:dk1>
      <a:lt1>
        <a:srgbClr val="FFFFFF"/>
      </a:lt1>
      <a:dk2>
        <a:srgbClr val="C3C3C3"/>
      </a:dk2>
      <a:lt2>
        <a:srgbClr val="454F4F"/>
      </a:lt2>
      <a:accent1>
        <a:srgbClr val="EBFF37"/>
      </a:accent1>
      <a:accent2>
        <a:srgbClr val="573699"/>
      </a:accent2>
      <a:accent3>
        <a:srgbClr val="E5E2FF"/>
      </a:accent3>
      <a:accent4>
        <a:srgbClr val="B5C7EB"/>
      </a:accent4>
      <a:accent5>
        <a:srgbClr val="F3F3F3"/>
      </a:accent5>
      <a:accent6>
        <a:srgbClr val="FF9387"/>
      </a:accent6>
      <a:hlink>
        <a:srgbClr val="0D0D66"/>
      </a:hlink>
      <a:folHlink>
        <a:srgbClr val="8C8C8C"/>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A7F2E65-998C-2544-8AD4-E3168E7B083A}">
  <dimension ref="A1:L150"/>
  <sheetViews>
    <sheetView showGridLines="0" tabSelected="1" zoomScale="113" zoomScaleNormal="75" workbookViewId="0">
      <selection activeCell="D137" sqref="D137"/>
    </sheetView>
  </sheetViews>
  <sheetFormatPr baseColWidth="10" defaultColWidth="10.83203125" defaultRowHeight="16" x14ac:dyDescent="0.2"/>
  <cols>
    <col min="1" max="1" width="17" style="1" customWidth="1"/>
    <col min="2" max="2" width="26.5" style="1" customWidth="1"/>
    <col min="3" max="3" width="40.83203125" style="1" customWidth="1"/>
    <col min="4" max="4" width="14.6640625" style="1" bestFit="1" customWidth="1"/>
    <col min="5" max="5" width="32.1640625" style="1" customWidth="1"/>
    <col min="6" max="6" width="14.6640625" style="1" bestFit="1" customWidth="1"/>
    <col min="7" max="16384" width="10.83203125" style="1"/>
  </cols>
  <sheetData>
    <row r="1" spans="1:12" ht="102" customHeight="1" x14ac:dyDescent="0.2">
      <c r="A1" s="19"/>
      <c r="B1" s="19" t="s">
        <v>0</v>
      </c>
      <c r="C1" s="7"/>
      <c r="D1" s="5"/>
      <c r="E1" s="5"/>
      <c r="F1" s="5"/>
      <c r="G1" s="5"/>
      <c r="H1" s="5"/>
      <c r="I1" s="5"/>
      <c r="J1" s="5"/>
      <c r="K1" s="5"/>
      <c r="L1" s="5"/>
    </row>
    <row r="2" spans="1:12" ht="102" customHeight="1" x14ac:dyDescent="0.2">
      <c r="A2" s="27"/>
      <c r="B2" s="70" t="s">
        <v>155</v>
      </c>
      <c r="C2" s="70"/>
      <c r="D2" s="70"/>
      <c r="E2" s="70"/>
      <c r="F2" s="70"/>
      <c r="G2" s="70"/>
      <c r="H2" s="70"/>
      <c r="I2" s="70"/>
      <c r="J2" s="5"/>
      <c r="K2" s="5"/>
      <c r="L2" s="5"/>
    </row>
    <row r="3" spans="1:12" s="18" customFormat="1" x14ac:dyDescent="0.2">
      <c r="A3" s="3"/>
      <c r="B3" s="3" t="s">
        <v>1</v>
      </c>
      <c r="C3" s="51" t="s">
        <v>2</v>
      </c>
    </row>
    <row r="4" spans="1:12" s="18" customFormat="1" x14ac:dyDescent="0.2"/>
    <row r="5" spans="1:12" s="18" customFormat="1" x14ac:dyDescent="0.2">
      <c r="A5" s="3"/>
      <c r="B5" s="3" t="s">
        <v>3</v>
      </c>
      <c r="C5" s="51" t="s">
        <v>4</v>
      </c>
    </row>
    <row r="6" spans="1:12" s="18" customFormat="1" ht="88" customHeight="1" x14ac:dyDescent="0.2">
      <c r="C6" s="8" t="str">
        <f>IF(OR(Aloitus!$C$5='Luettelojen sisällöt'!$D$2,Aloitus!$C$5='Luettelojen sisällöt'!$D$3,Aloitus!$C$5='Luettelojen sisällöt'!$D$5,Aloitus!$C$5='Luettelojen sisällöt'!$D$6,Aloitus!$C$5='Luettelojen sisällöt'!$D$7,Aloitus!$C$5='Luettelojen sisällöt'!$D$8),"Syötä alle kuinka monelle tuotteelle/palvelulle haluat laskea hinnan (1-10).",0)</f>
        <v>Syötä alle kuinka monelle tuotteelle/palvelulle haluat laskea hinnan (1-10).</v>
      </c>
    </row>
    <row r="7" spans="1:12" s="18" customFormat="1" x14ac:dyDescent="0.2">
      <c r="A7" s="3"/>
      <c r="B7" s="3" t="str">
        <f>IF(OR(Aloitus!$C$5='Luettelojen sisällöt'!$D$2,Aloitus!$C$5='Luettelojen sisällöt'!$D$5,Aloitus!$C$5='Luettelojen sisällöt'!$D$6,Aloitus!$C$5='Luettelojen sisällöt'!$D$8),"Erilaisia tuotteita tarjoan",0)</f>
        <v>Erilaisia tuotteita tarjoan</v>
      </c>
      <c r="C7" s="47"/>
      <c r="D7" s="18" t="str">
        <f>IF(OR(Aloitus!C5='Luettelojen sisällöt'!D2,Aloitus!C5='Luettelojen sisällöt'!D5,Aloitus!C5='Luettelojen sisällöt'!D6,Aloitus!C5='Luettelojen sisällöt'!D8),"kpl",0)</f>
        <v>kpl</v>
      </c>
    </row>
    <row r="8" spans="1:12" s="18" customFormat="1" x14ac:dyDescent="0.2">
      <c r="A8" s="3"/>
      <c r="B8" s="3" t="str">
        <f>IF(OR(Aloitus!$C$5='Luettelojen sisällöt'!$D$5,Aloitus!$C$5='Luettelojen sisällöt'!$D$7,Aloitus!$C$5='Luettelojen sisällöt'!$D$8,Aloitus!$C$5='Luettelojen sisällöt'!$D$3),"Erilaisia palveluja tarjoan",0)</f>
        <v>Erilaisia palveluja tarjoan</v>
      </c>
      <c r="C8" s="47"/>
      <c r="D8" s="18" t="str">
        <f>IF(OR(Aloitus!$C$5='Luettelojen sisällöt'!$D$5,Aloitus!$C$5='Luettelojen sisällöt'!$D$7,Aloitus!$C$5='Luettelojen sisällöt'!$D$8,Aloitus!$C$5='Luettelojen sisällöt'!$D$3),"kpl",0)</f>
        <v>kpl</v>
      </c>
    </row>
    <row r="9" spans="1:12" s="18" customFormat="1" x14ac:dyDescent="0.2"/>
    <row r="10" spans="1:12" s="18" customFormat="1" x14ac:dyDescent="0.2"/>
    <row r="11" spans="1:12" s="18" customFormat="1" x14ac:dyDescent="0.2">
      <c r="A11" s="3"/>
      <c r="B11" s="3">
        <f>IF(AND(C7&gt;0,C8&gt;0),"Nimeä tarjoamasi tuotteet ja palvelut",IF(C7&gt;0,"Nimeä tarjoamasi tuotteet",IF(C8&gt;0,"Nimeä tarjoamasi palvelut",0)))</f>
        <v>0</v>
      </c>
    </row>
    <row r="12" spans="1:12" s="18" customFormat="1" x14ac:dyDescent="0.2">
      <c r="B12" s="18">
        <f>IF($C$7&gt;0,"Tuotteen 1 nimi:",IF(AND($C$7=0,$C$8&gt;0),"Palvelun 1 nimi:",0))</f>
        <v>0</v>
      </c>
      <c r="C12" s="48"/>
      <c r="D12" s="18">
        <f>IF(AND($C$7&gt;0,$C$8&gt;0),"Palvelun 1 nimi:",0)</f>
        <v>0</v>
      </c>
      <c r="E12" s="48"/>
    </row>
    <row r="13" spans="1:12" s="18" customFormat="1" x14ac:dyDescent="0.2">
      <c r="B13" s="18">
        <f>IF($C$7&gt;1,"Tuotteen 2 nimi:",IF(AND($C$7=0,$C$8&gt;1),"Palvelun 2 nimi:",0))</f>
        <v>0</v>
      </c>
      <c r="C13" s="48"/>
      <c r="D13" s="18">
        <f>IF(AND($C$7&gt;0,$C$8&gt;1),"Palvelun 2 nimi:",0)</f>
        <v>0</v>
      </c>
      <c r="E13" s="48"/>
    </row>
    <row r="14" spans="1:12" s="18" customFormat="1" x14ac:dyDescent="0.2">
      <c r="B14" s="18">
        <f>IF($C$7&gt;2,"Tuotteen 3 nimi:",IF(AND($C$7=0,$C$8&gt;2),"Palvelun 3 nimi:",0))</f>
        <v>0</v>
      </c>
      <c r="C14" s="48"/>
      <c r="D14" s="18">
        <f>IF(AND($C$7&gt;0,$C$8&gt;2),"Palvelun 3 nimi:",0)</f>
        <v>0</v>
      </c>
      <c r="E14" s="48"/>
    </row>
    <row r="15" spans="1:12" s="18" customFormat="1" x14ac:dyDescent="0.2">
      <c r="B15" s="18">
        <f>IF($C$7&gt;3,"Tuotteen 4 nimi:",IF(AND($C$7=0,$C$8&gt;3),"Palvelun 4 nimi:",0))</f>
        <v>0</v>
      </c>
      <c r="C15" s="48"/>
      <c r="D15" s="18">
        <f>IF(AND($C$7&gt;0,$C$8&gt;3),"Palvelun 4 nimi:",0)</f>
        <v>0</v>
      </c>
      <c r="E15" s="48"/>
    </row>
    <row r="16" spans="1:12" s="18" customFormat="1" x14ac:dyDescent="0.2">
      <c r="B16" s="18">
        <f>IF($C$7&gt;4,"Tuotteen 5 nimi:",IF(AND($C$7=0,$C$8&gt;4),"Palvelun 5 nimi:",0))</f>
        <v>0</v>
      </c>
      <c r="C16" s="48"/>
      <c r="D16" s="18">
        <f>IF(AND($C$7&gt;0,$C$8&gt;4),"Palvelun 5 nimi:",0)</f>
        <v>0</v>
      </c>
      <c r="E16" s="48"/>
    </row>
    <row r="17" spans="1:12" s="18" customFormat="1" x14ac:dyDescent="0.2">
      <c r="B17" s="18">
        <f>IF($C$7&gt;5,"Tuotteen 6 nimi:",IF(AND($C$7=0,$C$8&gt;5),"Palvelun 6 nimi:",0))</f>
        <v>0</v>
      </c>
      <c r="C17" s="48"/>
      <c r="D17" s="18">
        <f>IF(AND($C$7&gt;0,$C$8&gt;5),"Palvelun 6 nimi:",0)</f>
        <v>0</v>
      </c>
      <c r="E17" s="48"/>
    </row>
    <row r="18" spans="1:12" s="18" customFormat="1" x14ac:dyDescent="0.2">
      <c r="B18" s="18">
        <f>IF($C$7&gt;6,"Tuotteen 7 nimi:",IF(AND($C$7=0,$C$8&gt;6),"Palvelun 7 nimi:",0))</f>
        <v>0</v>
      </c>
      <c r="C18" s="48"/>
      <c r="D18" s="18">
        <f>IF(AND($C$7&gt;0,$C$8&gt;6),"Palvelun 7 nimi:",0)</f>
        <v>0</v>
      </c>
      <c r="E18" s="48"/>
    </row>
    <row r="19" spans="1:12" s="18" customFormat="1" x14ac:dyDescent="0.2">
      <c r="B19" s="18">
        <f>IF($C$7&gt;7,"Tuotteen 8 nimi:",IF(AND($C$7=0,$C$8&gt;7),"Palvelun 8 nimi:",0))</f>
        <v>0</v>
      </c>
      <c r="C19" s="48"/>
      <c r="D19" s="18">
        <f>IF(AND($C$7&gt;0,$C$8&gt;7),"Palvelun 8 nimi:",0)</f>
        <v>0</v>
      </c>
      <c r="E19" s="48"/>
    </row>
    <row r="20" spans="1:12" s="18" customFormat="1" x14ac:dyDescent="0.2">
      <c r="B20" s="18">
        <f>IF($C$7&gt;8,"Tuotteen 9 nimi:",IF(AND($C$7=0,$C$8&gt;8),"Palvelun 9 nimi:",0))</f>
        <v>0</v>
      </c>
      <c r="C20" s="48"/>
      <c r="D20" s="18">
        <f>IF(AND($C$7&gt;0,$C$8&gt;8),"Palvelun 9 nimi:",0)</f>
        <v>0</v>
      </c>
      <c r="E20" s="48"/>
    </row>
    <row r="21" spans="1:12" s="18" customFormat="1" x14ac:dyDescent="0.2">
      <c r="B21" s="18">
        <f>IF($C$7&gt;9,"Tuotteen 10 nimi:",IF(AND($C$7=0,$C$8&gt;9),"Palvelun 10 nimi:",0))</f>
        <v>0</v>
      </c>
      <c r="C21" s="48"/>
      <c r="D21" s="18">
        <f>IF(AND($C$7&gt;0,$C$8&gt;9),"Palvelun 10 nimi:",0)</f>
        <v>0</v>
      </c>
      <c r="E21" s="48"/>
    </row>
    <row r="22" spans="1:12" s="18" customFormat="1" x14ac:dyDescent="0.2"/>
    <row r="23" spans="1:12" ht="96" customHeight="1" x14ac:dyDescent="0.2">
      <c r="A23" s="26"/>
      <c r="B23" s="69" t="str">
        <f>IF(C3='Luettelojen sisällöt'!B2,"Syötä seuraavaksi yritystoimintaasi liittyvät kulut. Jos yritystoiminta on ensisijainen tulonlähteesi, syötä myös henkilökohtaiset kulut, jotka yritystoiminnan tuottojen on katettava.","Syötä yritystoimintaasi liittyvät kulut.")</f>
        <v>Syötä seuraavaksi yritystoimintaasi liittyvät kulut. Jos yritystoiminta on ensisijainen tulonlähteesi, syötä myös henkilökohtaiset kulut, jotka yritystoiminnan tuottojen on katettava.</v>
      </c>
      <c r="C23" s="69"/>
      <c r="D23" s="10"/>
      <c r="E23" s="5"/>
      <c r="F23" s="5"/>
      <c r="G23" s="5"/>
      <c r="H23" s="5"/>
      <c r="I23" s="5"/>
      <c r="J23" s="5"/>
      <c r="K23" s="5"/>
      <c r="L23" s="5"/>
    </row>
    <row r="24" spans="1:12" x14ac:dyDescent="0.2">
      <c r="A24" s="3"/>
      <c r="B24" s="3"/>
    </row>
    <row r="25" spans="1:12" x14ac:dyDescent="0.2">
      <c r="A25" s="3"/>
      <c r="B25" s="3" t="s">
        <v>5</v>
      </c>
      <c r="C25" s="51" t="s">
        <v>6</v>
      </c>
    </row>
    <row r="26" spans="1:12" x14ac:dyDescent="0.2">
      <c r="A26" s="3"/>
      <c r="B26" s="3"/>
    </row>
    <row r="27" spans="1:12" x14ac:dyDescent="0.2">
      <c r="A27" s="3"/>
      <c r="B27" s="3">
        <f>IF(C25='Luettelojen sisällöt'!G2,"Vuosittaiset raaka-ainekulut",0)</f>
        <v>0</v>
      </c>
      <c r="C27" s="53"/>
    </row>
    <row r="28" spans="1:12" ht="34" x14ac:dyDescent="0.2">
      <c r="A28" s="3"/>
      <c r="B28" s="3" t="str">
        <f>IF(C25='Luettelojen sisällöt'!G3,"Raaka-aine ja materiaalikulut",0)</f>
        <v>Raaka-aine ja materiaalikulut</v>
      </c>
      <c r="C28" s="17" t="str">
        <f>IF($C$25='Luettelojen sisällöt'!$G$3,"Tuotteet",0)</f>
        <v>Tuotteet</v>
      </c>
      <c r="D28" s="17" t="str">
        <f>IF($C$25='Luettelojen sisällöt'!$G$3,"Raaka-ainekulut per yksikkö",0)</f>
        <v>Raaka-ainekulut per yksikkö</v>
      </c>
      <c r="E28" s="17" t="str">
        <f>IF($C$25='Luettelojen sisällöt'!$G$3,"Palvelut",0)</f>
        <v>Palvelut</v>
      </c>
      <c r="F28" s="17" t="str">
        <f>IF($C$25='Luettelojen sisällöt'!$G$3,"Materiaalikulut per yksikkö",0)</f>
        <v>Materiaalikulut per yksikkö</v>
      </c>
    </row>
    <row r="29" spans="1:12" x14ac:dyDescent="0.2">
      <c r="C29" s="18" cm="1">
        <f t="array" ref="C29:C38">IF($C$25='Luettelojen sisällöt'!$G$3,Aloitus!C12:C21,0)</f>
        <v>0</v>
      </c>
      <c r="D29" s="53"/>
      <c r="E29" s="1" cm="1">
        <f t="array" ref="E29:E38">IF(C25='Luettelojen sisällöt'!G3,Aloitus!E12:E21,0)</f>
        <v>0</v>
      </c>
      <c r="F29" s="53"/>
    </row>
    <row r="30" spans="1:12" x14ac:dyDescent="0.2">
      <c r="C30" s="18">
        <v>0</v>
      </c>
      <c r="D30" s="53"/>
      <c r="E30" s="1">
        <v>0</v>
      </c>
      <c r="F30" s="53"/>
    </row>
    <row r="31" spans="1:12" x14ac:dyDescent="0.2">
      <c r="C31" s="18">
        <v>0</v>
      </c>
      <c r="D31" s="53"/>
      <c r="E31" s="1">
        <v>0</v>
      </c>
      <c r="F31" s="53"/>
    </row>
    <row r="32" spans="1:12" x14ac:dyDescent="0.2">
      <c r="C32" s="18">
        <v>0</v>
      </c>
      <c r="D32" s="53"/>
      <c r="E32" s="1">
        <v>0</v>
      </c>
      <c r="F32" s="53"/>
    </row>
    <row r="33" spans="1:6" x14ac:dyDescent="0.2">
      <c r="C33" s="18">
        <v>0</v>
      </c>
      <c r="D33" s="53"/>
      <c r="E33" s="1">
        <v>0</v>
      </c>
      <c r="F33" s="53"/>
    </row>
    <row r="34" spans="1:6" x14ac:dyDescent="0.2">
      <c r="C34" s="18">
        <v>0</v>
      </c>
      <c r="D34" s="53"/>
      <c r="E34" s="1">
        <v>0</v>
      </c>
      <c r="F34" s="53"/>
    </row>
    <row r="35" spans="1:6" x14ac:dyDescent="0.2">
      <c r="C35" s="18">
        <v>0</v>
      </c>
      <c r="D35" s="53"/>
      <c r="E35" s="1">
        <v>0</v>
      </c>
      <c r="F35" s="53"/>
    </row>
    <row r="36" spans="1:6" x14ac:dyDescent="0.2">
      <c r="C36" s="18">
        <v>0</v>
      </c>
      <c r="D36" s="53"/>
      <c r="E36" s="1">
        <v>0</v>
      </c>
      <c r="F36" s="53"/>
    </row>
    <row r="37" spans="1:6" x14ac:dyDescent="0.2">
      <c r="C37" s="18">
        <v>0</v>
      </c>
      <c r="D37" s="53"/>
      <c r="E37" s="1">
        <v>0</v>
      </c>
      <c r="F37" s="53"/>
    </row>
    <row r="38" spans="1:6" x14ac:dyDescent="0.2">
      <c r="C38" s="18">
        <v>0</v>
      </c>
      <c r="D38" s="53"/>
      <c r="E38" s="1">
        <v>0</v>
      </c>
      <c r="F38" s="53"/>
    </row>
    <row r="39" spans="1:6" x14ac:dyDescent="0.2">
      <c r="B39" s="3"/>
      <c r="C39" s="3"/>
    </row>
    <row r="40" spans="1:6" ht="19" x14ac:dyDescent="0.25">
      <c r="A40" s="3"/>
      <c r="B40" s="44" t="s">
        <v>7</v>
      </c>
    </row>
    <row r="41" spans="1:6" x14ac:dyDescent="0.2">
      <c r="B41" s="3" t="str" cm="1">
        <f t="array" ref="B41:C142">IF(C3='Luettelojen sisällöt'!B3,Taul2!A1:B48,Taul2!A1:B102)</f>
        <v>Toimitilat ja kalusto</v>
      </c>
      <c r="C41" s="1">
        <v>0</v>
      </c>
    </row>
    <row r="42" spans="1:6" x14ac:dyDescent="0.2">
      <c r="B42" s="3">
        <v>0</v>
      </c>
      <c r="C42" s="1" t="str">
        <v>Toimitilan vuokra</v>
      </c>
      <c r="D42" s="53"/>
    </row>
    <row r="43" spans="1:6" x14ac:dyDescent="0.2">
      <c r="B43" s="3">
        <v>0</v>
      </c>
      <c r="C43" s="1" t="str">
        <v>Toimitilan huolto ja ylläpito</v>
      </c>
      <c r="D43" s="53"/>
    </row>
    <row r="44" spans="1:6" x14ac:dyDescent="0.2">
      <c r="B44" s="3">
        <v>0</v>
      </c>
      <c r="C44" s="1" t="str">
        <v>Lämmitys</v>
      </c>
      <c r="D44" s="53"/>
    </row>
    <row r="45" spans="1:6" x14ac:dyDescent="0.2">
      <c r="B45" s="3">
        <v>0</v>
      </c>
      <c r="C45" s="1" t="str">
        <v>Sähkö</v>
      </c>
      <c r="D45" s="53"/>
    </row>
    <row r="46" spans="1:6" x14ac:dyDescent="0.2">
      <c r="B46" s="3">
        <v>0</v>
      </c>
      <c r="C46" s="1" t="str">
        <v>Vesi</v>
      </c>
      <c r="D46" s="53"/>
    </row>
    <row r="47" spans="1:6" x14ac:dyDescent="0.2">
      <c r="B47" s="3">
        <v>0</v>
      </c>
      <c r="C47" s="1" t="str">
        <v>Uudet laitteet ja kalusto</v>
      </c>
      <c r="D47" s="53"/>
    </row>
    <row r="48" spans="1:6" x14ac:dyDescent="0.2">
      <c r="B48" s="3">
        <v>0</v>
      </c>
      <c r="C48" s="1" t="str">
        <v>Laitteiden ja kaluston poistot</v>
      </c>
      <c r="D48" s="53"/>
    </row>
    <row r="49" spans="2:4" x14ac:dyDescent="0.2">
      <c r="B49" s="3">
        <v>0</v>
      </c>
      <c r="C49" s="1" t="str">
        <v>Laitevuokrat</v>
      </c>
      <c r="D49" s="53"/>
    </row>
    <row r="50" spans="2:4" x14ac:dyDescent="0.2">
      <c r="B50" s="3">
        <v>0</v>
      </c>
      <c r="C50" s="1" t="str">
        <v>Muut toimitila- ja kalustokulut</v>
      </c>
      <c r="D50" s="53"/>
    </row>
    <row r="51" spans="2:4" x14ac:dyDescent="0.2">
      <c r="B51" s="3" t="str">
        <v>Palvelut ja lisenssit</v>
      </c>
      <c r="C51" s="1">
        <v>0</v>
      </c>
      <c r="D51" s="16"/>
    </row>
    <row r="52" spans="2:4" x14ac:dyDescent="0.2">
      <c r="B52" s="3">
        <v>0</v>
      </c>
      <c r="C52" s="1" t="str">
        <v>Kirjanpitopalvelut</v>
      </c>
      <c r="D52" s="53"/>
    </row>
    <row r="53" spans="2:4" x14ac:dyDescent="0.2">
      <c r="B53" s="3">
        <v>0</v>
      </c>
      <c r="C53" s="1" t="str">
        <v>Ohjelmistojen lisenssit</v>
      </c>
      <c r="D53" s="53"/>
    </row>
    <row r="54" spans="2:4" x14ac:dyDescent="0.2">
      <c r="B54" s="3">
        <v>0</v>
      </c>
      <c r="C54" s="1" t="str">
        <v>Ohjelmistojen rekisterimaksut</v>
      </c>
      <c r="D54" s="53"/>
    </row>
    <row r="55" spans="2:4" x14ac:dyDescent="0.2">
      <c r="B55" s="3">
        <v>0</v>
      </c>
      <c r="C55" s="1" t="str">
        <v>Verkkosivujen ylläpito</v>
      </c>
      <c r="D55" s="53"/>
    </row>
    <row r="56" spans="2:4" x14ac:dyDescent="0.2">
      <c r="B56" s="3">
        <v>0</v>
      </c>
      <c r="C56" s="1" t="str">
        <v>Internet</v>
      </c>
      <c r="D56" s="53"/>
    </row>
    <row r="57" spans="2:4" x14ac:dyDescent="0.2">
      <c r="B57" s="3">
        <v>0</v>
      </c>
      <c r="C57" s="1" t="str">
        <v>Puhelinkulut</v>
      </c>
      <c r="D57" s="53"/>
    </row>
    <row r="58" spans="2:4" x14ac:dyDescent="0.2">
      <c r="B58" s="3">
        <v>0</v>
      </c>
      <c r="C58" s="1" t="str">
        <v>Patentti-, malli- ja IPR-kulut</v>
      </c>
      <c r="D58" s="53"/>
    </row>
    <row r="59" spans="2:4" x14ac:dyDescent="0.2">
      <c r="B59" s="3">
        <v>0</v>
      </c>
      <c r="C59" s="1" t="str">
        <v>Muiden järjestöjen jäsenmaksut</v>
      </c>
      <c r="D59" s="53"/>
    </row>
    <row r="60" spans="2:4" x14ac:dyDescent="0.2">
      <c r="B60" s="3">
        <v>0</v>
      </c>
      <c r="C60" s="1" t="str">
        <v>Pankkikulut</v>
      </c>
      <c r="D60" s="53"/>
    </row>
    <row r="61" spans="2:4" x14ac:dyDescent="0.2">
      <c r="B61" s="3">
        <v>0</v>
      </c>
      <c r="C61" s="1" t="str">
        <v>Rahoitushakemukset</v>
      </c>
      <c r="D61" s="53"/>
    </row>
    <row r="62" spans="2:4" x14ac:dyDescent="0.2">
      <c r="B62" s="3">
        <v>0</v>
      </c>
      <c r="C62" s="1" t="str">
        <v>Lainojen korot</v>
      </c>
      <c r="D62" s="53"/>
    </row>
    <row r="63" spans="2:4" x14ac:dyDescent="0.2">
      <c r="B63" s="3">
        <v>0</v>
      </c>
      <c r="C63" s="1" t="str">
        <v>Muut palvelu- ja ohjelmistokulut</v>
      </c>
      <c r="D63" s="53"/>
    </row>
    <row r="64" spans="2:4" x14ac:dyDescent="0.2">
      <c r="B64" s="3" t="str">
        <v>Henkilöstökulut</v>
      </c>
      <c r="C64" s="1">
        <v>0</v>
      </c>
      <c r="D64" s="16"/>
    </row>
    <row r="65" spans="2:10" x14ac:dyDescent="0.2">
      <c r="B65" s="3">
        <v>0</v>
      </c>
      <c r="C65" s="1" t="str">
        <v>Yrittäjän eläkevakuutus (YEL)</v>
      </c>
      <c r="D65" s="53"/>
    </row>
    <row r="66" spans="2:10" x14ac:dyDescent="0.2">
      <c r="B66" s="3">
        <v>0</v>
      </c>
      <c r="C66" s="1" t="str">
        <v>Yrittäjän työttömyysturvavakuutus</v>
      </c>
      <c r="D66" s="53"/>
      <c r="J66" s="9" t="str">
        <f>CONCATENATE("Syötettyjen kulujen yhteissumma: ",DOLLAR(SUM(D42:D136)))</f>
        <v>Syötettyjen kulujen yhteissumma: 0,00 €</v>
      </c>
    </row>
    <row r="67" spans="2:10" x14ac:dyDescent="0.2">
      <c r="B67" s="3">
        <v>0</v>
      </c>
      <c r="C67" s="1" t="str">
        <v>Työntekijöiden palkat</v>
      </c>
      <c r="D67" s="53"/>
    </row>
    <row r="68" spans="2:10" x14ac:dyDescent="0.2">
      <c r="B68" s="3">
        <v>0</v>
      </c>
      <c r="C68" s="1" t="str">
        <v>Työntekijöiden vakuutukset</v>
      </c>
      <c r="D68" s="53"/>
    </row>
    <row r="69" spans="2:10" x14ac:dyDescent="0.2">
      <c r="B69" s="3">
        <v>0</v>
      </c>
      <c r="C69" s="1" t="str">
        <v>Koulutuskulut</v>
      </c>
      <c r="D69" s="53"/>
    </row>
    <row r="70" spans="2:10" x14ac:dyDescent="0.2">
      <c r="B70" s="3">
        <v>0</v>
      </c>
      <c r="C70" s="1" t="str">
        <v>Liittojen ja järjestöjen jäsenmaksut</v>
      </c>
      <c r="D70" s="53"/>
    </row>
    <row r="71" spans="2:10" x14ac:dyDescent="0.2">
      <c r="B71" s="3">
        <v>0</v>
      </c>
      <c r="C71" s="1" t="str">
        <v>Muut henkilöstökulut</v>
      </c>
      <c r="D71" s="53"/>
    </row>
    <row r="72" spans="2:10" x14ac:dyDescent="0.2">
      <c r="B72" s="3" t="str">
        <v>Tuotanto ja hankinta</v>
      </c>
      <c r="C72" s="1">
        <v>0</v>
      </c>
      <c r="D72" s="16"/>
    </row>
    <row r="73" spans="2:10" x14ac:dyDescent="0.2">
      <c r="B73" s="3">
        <v>0</v>
      </c>
      <c r="C73" s="1" t="str">
        <v>Valmistuskulut</v>
      </c>
      <c r="D73" s="53"/>
      <c r="E73" s="1" t="s">
        <v>156</v>
      </c>
    </row>
    <row r="74" spans="2:10" x14ac:dyDescent="0.2">
      <c r="B74" s="3">
        <v>0</v>
      </c>
      <c r="C74" s="1" t="str">
        <v>Ostopalvelut</v>
      </c>
      <c r="D74" s="53"/>
      <c r="E74" s="1" t="s">
        <v>154</v>
      </c>
    </row>
    <row r="75" spans="2:10" x14ac:dyDescent="0.2">
      <c r="B75" s="3">
        <v>0</v>
      </c>
      <c r="C75" s="1" t="str">
        <v>Pakkausmateriaalit</v>
      </c>
      <c r="D75" s="53"/>
    </row>
    <row r="76" spans="2:10" x14ac:dyDescent="0.2">
      <c r="B76" s="3">
        <v>0</v>
      </c>
      <c r="C76" s="1" t="str">
        <v>Varastokulut</v>
      </c>
      <c r="D76" s="53"/>
    </row>
    <row r="77" spans="2:10" x14ac:dyDescent="0.2">
      <c r="B77" s="3">
        <v>0</v>
      </c>
      <c r="C77" s="1" t="str">
        <v>Toimistotarvikkeet</v>
      </c>
      <c r="D77" s="53"/>
    </row>
    <row r="78" spans="2:10" x14ac:dyDescent="0.2">
      <c r="B78" s="3">
        <v>0</v>
      </c>
      <c r="C78" s="1" t="str">
        <v>Kirjat ja lehdet</v>
      </c>
      <c r="D78" s="53"/>
    </row>
    <row r="79" spans="2:10" x14ac:dyDescent="0.2">
      <c r="B79" s="3">
        <v>0</v>
      </c>
      <c r="C79" s="1" t="str">
        <v>Muut tuotantokulut</v>
      </c>
      <c r="D79" s="53"/>
    </row>
    <row r="80" spans="2:10" x14ac:dyDescent="0.2">
      <c r="B80" s="3" t="str">
        <v>Markkinointi ja myynti</v>
      </c>
      <c r="C80" s="1">
        <v>0</v>
      </c>
      <c r="D80" s="16"/>
    </row>
    <row r="81" spans="2:4" x14ac:dyDescent="0.2">
      <c r="B81" s="3">
        <v>0</v>
      </c>
      <c r="C81" s="1" t="str">
        <v>Mainoskulut</v>
      </c>
      <c r="D81" s="53"/>
    </row>
    <row r="82" spans="2:4" x14ac:dyDescent="0.2">
      <c r="B82" s="3">
        <v>0</v>
      </c>
      <c r="C82" s="1" t="str">
        <v>Markkinointitapahtumat</v>
      </c>
      <c r="D82" s="53"/>
    </row>
    <row r="83" spans="2:4" x14ac:dyDescent="0.2">
      <c r="B83" s="3">
        <v>0</v>
      </c>
      <c r="C83" s="1" t="str">
        <v>Näyttelymaksut</v>
      </c>
      <c r="D83" s="53"/>
    </row>
    <row r="84" spans="2:4" x14ac:dyDescent="0.2">
      <c r="B84" s="3">
        <v>0</v>
      </c>
      <c r="C84" s="1" t="str">
        <v>Markkinointimateriaalit</v>
      </c>
      <c r="D84" s="53"/>
    </row>
    <row r="85" spans="2:4" x14ac:dyDescent="0.2">
      <c r="B85" s="3">
        <v>0</v>
      </c>
      <c r="C85" s="1" t="str">
        <v>Postitus- ja kuljetuskulut</v>
      </c>
      <c r="D85" s="53"/>
    </row>
    <row r="86" spans="2:4" x14ac:dyDescent="0.2">
      <c r="B86" s="3">
        <v>0</v>
      </c>
      <c r="C86" s="1" t="str">
        <v>Edustuskulut</v>
      </c>
      <c r="D86" s="53"/>
    </row>
    <row r="87" spans="2:4" x14ac:dyDescent="0.2">
      <c r="B87" s="3">
        <v>0</v>
      </c>
      <c r="C87" s="1" t="str">
        <v>Matkakulut</v>
      </c>
      <c r="D87" s="53"/>
    </row>
    <row r="88" spans="2:4" x14ac:dyDescent="0.2">
      <c r="B88" s="3">
        <v>0</v>
      </c>
      <c r="C88" s="1" t="str">
        <v>Muut markkinointi- ja myyntikulut</v>
      </c>
      <c r="D88" s="53"/>
    </row>
    <row r="89" spans="2:4" x14ac:dyDescent="0.2">
      <c r="B89" s="3">
        <v>0</v>
      </c>
      <c r="C89" s="1">
        <v>0</v>
      </c>
      <c r="D89" s="16"/>
    </row>
    <row r="90" spans="2:4" x14ac:dyDescent="0.2">
      <c r="B90" s="3" t="str">
        <v>Henkilökohtaiset kulut</v>
      </c>
      <c r="C90" s="1">
        <v>0</v>
      </c>
      <c r="D90" s="16"/>
    </row>
    <row r="91" spans="2:4" x14ac:dyDescent="0.2">
      <c r="B91" s="3" t="str">
        <v>Asuminen</v>
      </c>
      <c r="C91" s="1">
        <v>0</v>
      </c>
      <c r="D91" s="16"/>
    </row>
    <row r="92" spans="2:4" x14ac:dyDescent="0.2">
      <c r="B92" s="3">
        <v>0</v>
      </c>
      <c r="C92" s="1" t="str">
        <v>Asunnon vuokra</v>
      </c>
      <c r="D92" s="53"/>
    </row>
    <row r="93" spans="2:4" x14ac:dyDescent="0.2">
      <c r="B93" s="3">
        <v>0</v>
      </c>
      <c r="C93" s="1" t="str">
        <v>Asuntolainan lyhennys</v>
      </c>
      <c r="D93" s="53"/>
    </row>
    <row r="94" spans="2:4" x14ac:dyDescent="0.2">
      <c r="B94" s="3">
        <v>0</v>
      </c>
      <c r="C94" s="1" t="str">
        <v>Lämmitys</v>
      </c>
      <c r="D94" s="53"/>
    </row>
    <row r="95" spans="2:4" x14ac:dyDescent="0.2">
      <c r="B95" s="3">
        <v>0</v>
      </c>
      <c r="C95" s="1" t="str">
        <v>Sähkö</v>
      </c>
      <c r="D95" s="53"/>
    </row>
    <row r="96" spans="2:4" x14ac:dyDescent="0.2">
      <c r="B96" s="3">
        <v>0</v>
      </c>
      <c r="C96" s="1" t="str">
        <v>Vesi</v>
      </c>
      <c r="D96" s="53"/>
    </row>
    <row r="97" spans="2:4" x14ac:dyDescent="0.2">
      <c r="B97" s="3">
        <v>0</v>
      </c>
      <c r="C97" s="1" t="str">
        <v>Kodin huolto ja remontit</v>
      </c>
      <c r="D97" s="53"/>
    </row>
    <row r="98" spans="2:4" x14ac:dyDescent="0.2">
      <c r="B98" s="3">
        <v>0</v>
      </c>
      <c r="C98" s="1" t="str">
        <v>Sisustus</v>
      </c>
      <c r="D98" s="53"/>
    </row>
    <row r="99" spans="2:4" x14ac:dyDescent="0.2">
      <c r="B99" s="3">
        <v>0</v>
      </c>
      <c r="C99" s="1" t="str">
        <v>Muut asumisen kustannukset</v>
      </c>
      <c r="D99" s="53"/>
    </row>
    <row r="100" spans="2:4" x14ac:dyDescent="0.2">
      <c r="B100" s="3" t="str">
        <v>Liikkuminen</v>
      </c>
      <c r="C100" s="1">
        <v>0</v>
      </c>
      <c r="D100" s="16"/>
    </row>
    <row r="101" spans="2:4" x14ac:dyDescent="0.2">
      <c r="B101" s="3">
        <v>0</v>
      </c>
      <c r="C101" s="1" t="str">
        <v>Matkaliput</v>
      </c>
      <c r="D101" s="53"/>
    </row>
    <row r="102" spans="2:4" x14ac:dyDescent="0.2">
      <c r="B102" s="3">
        <v>0</v>
      </c>
      <c r="C102" s="1" t="str">
        <v>Auton huolto</v>
      </c>
      <c r="D102" s="53"/>
    </row>
    <row r="103" spans="2:4" x14ac:dyDescent="0.2">
      <c r="B103" s="3">
        <v>0</v>
      </c>
      <c r="C103" s="1" t="str">
        <v>Polttoaine</v>
      </c>
      <c r="D103" s="53"/>
    </row>
    <row r="104" spans="2:4" x14ac:dyDescent="0.2">
      <c r="B104" s="3">
        <v>0</v>
      </c>
      <c r="C104" s="1" t="str">
        <v>Muut liikkumiskustannukset</v>
      </c>
      <c r="D104" s="53"/>
    </row>
    <row r="105" spans="2:4" x14ac:dyDescent="0.2">
      <c r="B105" s="3" t="str">
        <v>Vapaa-aika</v>
      </c>
      <c r="C105" s="1">
        <v>0</v>
      </c>
      <c r="D105" s="16"/>
    </row>
    <row r="106" spans="2:4" x14ac:dyDescent="0.2">
      <c r="B106" s="3">
        <v>0</v>
      </c>
      <c r="C106" s="1" t="str">
        <v>Lemmikit</v>
      </c>
      <c r="D106" s="53"/>
    </row>
    <row r="107" spans="2:4" x14ac:dyDescent="0.2">
      <c r="B107" s="3">
        <v>0</v>
      </c>
      <c r="C107" s="1" t="str">
        <v>Harrastusmaksut</v>
      </c>
      <c r="D107" s="53"/>
    </row>
    <row r="108" spans="2:4" x14ac:dyDescent="0.2">
      <c r="B108" s="3">
        <v>0</v>
      </c>
      <c r="C108" s="1" t="str">
        <v>Juhlat</v>
      </c>
      <c r="D108" s="53"/>
    </row>
    <row r="109" spans="2:4" x14ac:dyDescent="0.2">
      <c r="B109" s="3">
        <v>0</v>
      </c>
      <c r="C109" s="1" t="str">
        <v>Osallistumismaksut</v>
      </c>
      <c r="D109" s="53"/>
    </row>
    <row r="110" spans="2:4" x14ac:dyDescent="0.2">
      <c r="B110" s="3">
        <v>0</v>
      </c>
      <c r="C110" s="1" t="str">
        <v xml:space="preserve">Ravintolat </v>
      </c>
      <c r="D110" s="53"/>
    </row>
    <row r="111" spans="2:4" x14ac:dyDescent="0.2">
      <c r="B111" s="3">
        <v>0</v>
      </c>
      <c r="C111" s="1" t="str">
        <v>Lomakulut</v>
      </c>
      <c r="D111" s="53"/>
    </row>
    <row r="112" spans="2:4" x14ac:dyDescent="0.2">
      <c r="B112" s="3">
        <v>0</v>
      </c>
      <c r="C112" s="1" t="str">
        <v>Muut vapaa-ajan kulut</v>
      </c>
      <c r="D112" s="53"/>
    </row>
    <row r="113" spans="2:4" x14ac:dyDescent="0.2">
      <c r="B113" s="3" t="str">
        <v>Tarvikkeet</v>
      </c>
      <c r="C113" s="1">
        <v>0</v>
      </c>
      <c r="D113" s="16"/>
    </row>
    <row r="114" spans="2:4" x14ac:dyDescent="0.2">
      <c r="B114" s="3">
        <v>0</v>
      </c>
      <c r="C114" s="1" t="str">
        <v>Elintarvikkeet</v>
      </c>
      <c r="D114" s="53"/>
    </row>
    <row r="115" spans="2:4" x14ac:dyDescent="0.2">
      <c r="B115" s="3">
        <v>0</v>
      </c>
      <c r="C115" s="1" t="str">
        <v>Siivoustarvikkeet</v>
      </c>
      <c r="D115" s="53"/>
    </row>
    <row r="116" spans="2:4" x14ac:dyDescent="0.2">
      <c r="B116" s="3">
        <v>0</v>
      </c>
      <c r="C116" s="1" t="str">
        <v>Pienlaitteet</v>
      </c>
      <c r="D116" s="53"/>
    </row>
    <row r="117" spans="2:4" x14ac:dyDescent="0.2">
      <c r="B117" s="3">
        <v>0</v>
      </c>
      <c r="C117" s="1" t="str">
        <v>Kodinkoneet</v>
      </c>
      <c r="D117" s="53"/>
    </row>
    <row r="118" spans="2:4" x14ac:dyDescent="0.2">
      <c r="B118" s="3">
        <v>0</v>
      </c>
      <c r="C118" s="1" t="str">
        <v>Vaatteet</v>
      </c>
      <c r="D118" s="53"/>
    </row>
    <row r="119" spans="2:4" x14ac:dyDescent="0.2">
      <c r="B119" s="3">
        <v>0</v>
      </c>
      <c r="C119" s="1" t="str">
        <v>Päivittäistavarat</v>
      </c>
      <c r="D119" s="53"/>
    </row>
    <row r="120" spans="2:4" x14ac:dyDescent="0.2">
      <c r="B120" s="3">
        <v>0</v>
      </c>
      <c r="C120" s="1" t="str">
        <v>Muut tarvikkeet</v>
      </c>
      <c r="D120" s="53"/>
    </row>
    <row r="121" spans="2:4" x14ac:dyDescent="0.2">
      <c r="B121" s="3" t="str">
        <v>Palvelut</v>
      </c>
      <c r="C121" s="1">
        <v>0</v>
      </c>
      <c r="D121" s="16"/>
    </row>
    <row r="122" spans="2:4" x14ac:dyDescent="0.2">
      <c r="B122" s="3">
        <v>0</v>
      </c>
      <c r="C122" s="1" t="str">
        <v>Internet</v>
      </c>
      <c r="D122" s="53"/>
    </row>
    <row r="123" spans="2:4" x14ac:dyDescent="0.2">
      <c r="B123" s="3">
        <v>0</v>
      </c>
      <c r="C123" s="1" t="str">
        <v>Ohjelmistojen rekisterimaksut</v>
      </c>
      <c r="D123" s="53"/>
    </row>
    <row r="124" spans="2:4" x14ac:dyDescent="0.2">
      <c r="B124" s="3">
        <v>0</v>
      </c>
      <c r="C124" s="1" t="str">
        <v>Suoratoistopalvelut</v>
      </c>
      <c r="D124" s="53"/>
    </row>
    <row r="125" spans="2:4" x14ac:dyDescent="0.2">
      <c r="B125" s="3">
        <v>0</v>
      </c>
      <c r="C125" s="1" t="str">
        <v>Puhelinkulut</v>
      </c>
      <c r="D125" s="53"/>
    </row>
    <row r="126" spans="2:4" x14ac:dyDescent="0.2">
      <c r="B126" s="3">
        <v>0</v>
      </c>
      <c r="C126" s="1" t="str">
        <v>Muut palvelut</v>
      </c>
      <c r="D126" s="53"/>
    </row>
    <row r="127" spans="2:4" x14ac:dyDescent="0.2">
      <c r="B127" s="3" t="str">
        <v>Vakuutukset ja ennakointi</v>
      </c>
      <c r="C127" s="1">
        <v>0</v>
      </c>
      <c r="D127" s="16"/>
    </row>
    <row r="128" spans="2:4" x14ac:dyDescent="0.2">
      <c r="B128" s="3">
        <v>0</v>
      </c>
      <c r="C128" s="1" t="str">
        <v>Kotivakuutus</v>
      </c>
      <c r="D128" s="53"/>
    </row>
    <row r="129" spans="2:4" x14ac:dyDescent="0.2">
      <c r="B129" s="3">
        <v>0</v>
      </c>
      <c r="C129" s="1" t="str">
        <v>Ajoneuvovakuutus</v>
      </c>
      <c r="D129" s="53"/>
    </row>
    <row r="130" spans="2:4" x14ac:dyDescent="0.2">
      <c r="B130" s="3">
        <v>0</v>
      </c>
      <c r="C130" s="1" t="str">
        <v>Henkivakuutus</v>
      </c>
      <c r="D130" s="53"/>
    </row>
    <row r="131" spans="2:4" x14ac:dyDescent="0.2">
      <c r="B131" s="3">
        <v>0</v>
      </c>
      <c r="C131" s="1" t="str">
        <v>Sairaus- ja tapaturmavakuutus</v>
      </c>
      <c r="D131" s="53"/>
    </row>
    <row r="132" spans="2:4" x14ac:dyDescent="0.2">
      <c r="B132" s="3">
        <v>0</v>
      </c>
      <c r="C132" s="1" t="str">
        <v>Lemmikkivakuutus</v>
      </c>
      <c r="D132" s="53"/>
    </row>
    <row r="133" spans="2:4" x14ac:dyDescent="0.2">
      <c r="B133" s="3">
        <v>0</v>
      </c>
      <c r="C133" s="1" t="str">
        <v>Säästöt</v>
      </c>
      <c r="D133" s="53"/>
    </row>
    <row r="134" spans="2:4" x14ac:dyDescent="0.2">
      <c r="B134" s="3">
        <v>0</v>
      </c>
      <c r="C134" s="1" t="str">
        <v>Muut ennakointi ja vakuutuskulut</v>
      </c>
      <c r="D134" s="53"/>
    </row>
    <row r="135" spans="2:4" x14ac:dyDescent="0.2">
      <c r="B135" s="3" t="str">
        <v>Verot</v>
      </c>
      <c r="C135" s="1">
        <v>0</v>
      </c>
      <c r="D135" s="16"/>
    </row>
    <row r="136" spans="2:4" x14ac:dyDescent="0.2">
      <c r="B136" s="3">
        <v>0</v>
      </c>
      <c r="C136" s="1" t="str">
        <v>Kiinteistövero</v>
      </c>
      <c r="D136" s="53"/>
    </row>
    <row r="137" spans="2:4" x14ac:dyDescent="0.2">
      <c r="B137" s="3">
        <v>0</v>
      </c>
      <c r="C137" s="1" t="str">
        <v>Ajoneuvovero</v>
      </c>
      <c r="D137" s="45"/>
    </row>
    <row r="138" spans="2:4" x14ac:dyDescent="0.2">
      <c r="B138" s="3">
        <v>0</v>
      </c>
      <c r="C138" s="1" t="str">
        <v>Kirkollisvero</v>
      </c>
      <c r="D138" s="45"/>
    </row>
    <row r="139" spans="2:4" x14ac:dyDescent="0.2">
      <c r="B139" s="3">
        <v>0</v>
      </c>
      <c r="C139" s="1" t="str">
        <v>Pääomatulovero</v>
      </c>
      <c r="D139" s="45"/>
    </row>
    <row r="140" spans="2:4" x14ac:dyDescent="0.2">
      <c r="B140" s="3">
        <v>0</v>
      </c>
      <c r="C140" s="1" t="str">
        <v>Lahjavero</v>
      </c>
      <c r="D140" s="45"/>
    </row>
    <row r="141" spans="2:4" x14ac:dyDescent="0.2">
      <c r="B141" s="3">
        <v>0</v>
      </c>
      <c r="C141" s="1" t="str">
        <v>Varainsiirtovero</v>
      </c>
      <c r="D141" s="45"/>
    </row>
    <row r="142" spans="2:4" x14ac:dyDescent="0.2">
      <c r="B142" s="1">
        <v>0</v>
      </c>
      <c r="C142" s="1" t="str">
        <v>Muut henkilökohtaiset verot</v>
      </c>
      <c r="D142" s="45"/>
    </row>
    <row r="150" spans="1:12" x14ac:dyDescent="0.2">
      <c r="A150" s="5"/>
      <c r="B150" s="5"/>
      <c r="C150" s="5"/>
      <c r="D150" s="29">
        <f>SUM(D42:D149)</f>
        <v>0</v>
      </c>
      <c r="E150" s="5"/>
      <c r="F150" s="5"/>
      <c r="G150" s="5"/>
      <c r="H150" s="5"/>
      <c r="I150" s="5"/>
      <c r="J150" s="5"/>
      <c r="K150" s="5"/>
      <c r="L150" s="5"/>
    </row>
  </sheetData>
  <sheetProtection algorithmName="SHA-512" hashValue="w+zzNmTC8jEzC7FsO/hvJW1VDjzYMNCwNxy2scW/+dYRa+J1BNq48mM1U6lzlc0n8aNkykDVS4Qy+JioiosaDw==" saltValue="IA+ynWUghbn2Y3CJuizqzQ==" spinCount="100000" sheet="1" objects="1" scenarios="1" selectLockedCells="1"/>
  <mergeCells count="2">
    <mergeCell ref="B23:C23"/>
    <mergeCell ref="B2:I2"/>
  </mergeCells>
  <conditionalFormatting sqref="A1:D1 A1:B2 A3:D4 A5:C5 A23:B23 A40:XFD137 A138:C138 E138:XFD138 A139:XFD1048576">
    <cfRule type="cellIs" dxfId="40" priority="23" operator="equal">
      <formula>0</formula>
    </cfRule>
  </conditionalFormatting>
  <conditionalFormatting sqref="A1:XFD27 A28:B28 C28:XFD39">
    <cfRule type="cellIs" dxfId="39" priority="24" operator="equal">
      <formula>0</formula>
    </cfRule>
  </conditionalFormatting>
  <conditionalFormatting sqref="C7:C8">
    <cfRule type="expression" dxfId="38" priority="1">
      <formula>$D7&gt;0</formula>
    </cfRule>
  </conditionalFormatting>
  <conditionalFormatting sqref="C12:C21">
    <cfRule type="expression" dxfId="37" priority="9">
      <formula>AND(B11&gt;0,B12=0)</formula>
    </cfRule>
    <cfRule type="expression" dxfId="36" priority="10">
      <formula>B12=0</formula>
    </cfRule>
  </conditionalFormatting>
  <conditionalFormatting sqref="C27">
    <cfRule type="expression" dxfId="35" priority="3">
      <formula>$B$27&gt;0</formula>
    </cfRule>
  </conditionalFormatting>
  <conditionalFormatting sqref="D8">
    <cfRule type="cellIs" dxfId="34" priority="21" operator="equal">
      <formula>0</formula>
    </cfRule>
  </conditionalFormatting>
  <conditionalFormatting sqref="D29:D38">
    <cfRule type="expression" dxfId="33" priority="31">
      <formula>$C29&gt;0</formula>
    </cfRule>
  </conditionalFormatting>
  <conditionalFormatting sqref="E12:E21">
    <cfRule type="expression" dxfId="30" priority="14">
      <formula>AND(D11&gt;0,D12=0)</formula>
    </cfRule>
    <cfRule type="expression" dxfId="29" priority="20">
      <formula>D12=0</formula>
    </cfRule>
  </conditionalFormatting>
  <conditionalFormatting sqref="F29:F38">
    <cfRule type="expression" dxfId="28" priority="2">
      <formula>$E29&gt;0</formula>
    </cfRule>
  </conditionalFormatting>
  <dataValidations count="1">
    <dataValidation type="decimal" allowBlank="1" showInputMessage="1" showErrorMessage="1" sqref="C9" xr:uid="{B21BB268-6734-994D-8C4E-16347EC0FFAF}">
      <formula1>0</formula1>
      <formula2>157.5</formula2>
    </dataValidation>
  </dataValidations>
  <pageMargins left="0.7" right="0.7" top="0.75" bottom="0.75" header="0.3" footer="0.3"/>
  <pageSetup paperSize="9" orientation="portrait" horizontalDpi="0" verticalDpi="0"/>
  <drawing r:id="rId1"/>
  <extLst>
    <ext xmlns:x14="http://schemas.microsoft.com/office/spreadsheetml/2009/9/main" uri="{78C0D931-6437-407d-A8EE-F0AAD7539E65}">
      <x14:conditionalFormattings>
        <x14:conditionalFormatting xmlns:xm="http://schemas.microsoft.com/office/excel/2006/main">
          <x14:cfRule type="expression" priority="6" id="{1F2B3C30-9285-E648-B0F3-DF52C0624825}">
            <xm:f>$C$3='Luettelojen sisällöt'!$B$2</xm:f>
            <x14:dxf>
              <border>
                <left style="thin">
                  <color auto="1"/>
                </left>
                <right style="thin">
                  <color auto="1"/>
                </right>
                <top style="thin">
                  <color auto="1"/>
                </top>
                <bottom style="thin">
                  <color auto="1"/>
                </bottom>
                <vertical/>
                <horizontal/>
              </border>
            </x14:dxf>
          </x14:cfRule>
          <xm:sqref>D42:D50 D52:D63 D65:D71 D73:D79 D81:D88 D92:D99 D101:D104 D106:D112 D114:D120 D122:D126 D128:D134 D136:D142</xm:sqref>
        </x14:conditionalFormatting>
        <x14:conditionalFormatting xmlns:xm="http://schemas.microsoft.com/office/excel/2006/main">
          <x14:cfRule type="expression" priority="7" id="{A4CB4078-8A86-E04B-80F6-836534869C3D}">
            <xm:f>$C$3='Luettelojen sisällöt'!$B$3</xm:f>
            <x14:dxf>
              <border>
                <left style="thin">
                  <color auto="1"/>
                </left>
                <right style="thin">
                  <color auto="1"/>
                </right>
                <top style="thin">
                  <color auto="1"/>
                </top>
                <bottom style="thin">
                  <color auto="1"/>
                </bottom>
                <vertical/>
                <horizontal/>
              </border>
            </x14:dxf>
          </x14:cfRule>
          <xm:sqref>D42:D50 D52:D63 D65:D71 D73:D79 D81:D88</xm:sqref>
        </x14:conditionalFormatting>
      </x14:conditionalFormattings>
    </ext>
    <ext xmlns:x14="http://schemas.microsoft.com/office/spreadsheetml/2009/9/main" uri="{CCE6A557-97BC-4b89-ADB6-D9C93CAAB3DF}">
      <x14:dataValidations xmlns:xm="http://schemas.microsoft.com/office/excel/2006/main" count="4">
        <x14:dataValidation type="list" allowBlank="1" showInputMessage="1" showErrorMessage="1" xr:uid="{088BF0CA-9CF7-DF4C-AC0A-BF2421092398}">
          <x14:formula1>
            <xm:f>'Luettelojen sisällöt'!$B$2:$B$3</xm:f>
          </x14:formula1>
          <xm:sqref>C3</xm:sqref>
        </x14:dataValidation>
        <x14:dataValidation type="list" allowBlank="1" showInputMessage="1" showErrorMessage="1" xr:uid="{53D918E2-4290-104E-846F-864F2807B2FF}">
          <x14:formula1>
            <xm:f>'Luettelojen sisällöt'!$D$2:$D$8</xm:f>
          </x14:formula1>
          <xm:sqref>C5</xm:sqref>
        </x14:dataValidation>
        <x14:dataValidation type="list" allowBlank="1" showInputMessage="1" showErrorMessage="1" xr:uid="{2744C599-C232-6A4A-97FF-F46FE4D42B00}">
          <x14:formula1>
            <xm:f>'Luettelojen sisällöt'!$C$1:$C$11</xm:f>
          </x14:formula1>
          <xm:sqref>C7:C8</xm:sqref>
        </x14:dataValidation>
        <x14:dataValidation type="list" allowBlank="1" showInputMessage="1" showErrorMessage="1" xr:uid="{345F4C5E-9F6C-2440-8423-D1E4173A5CBA}">
          <x14:formula1>
            <xm:f>'Luettelojen sisällöt'!$G$2:$G$3</xm:f>
          </x14:formula1>
          <xm:sqref>C25</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ACFE49D-1D25-EB41-BBDC-10A582FD0B35}">
  <dimension ref="A1:N59"/>
  <sheetViews>
    <sheetView showGridLines="0" zoomScaleNormal="100" workbookViewId="0">
      <selection activeCell="B4" sqref="B4"/>
    </sheetView>
  </sheetViews>
  <sheetFormatPr baseColWidth="10" defaultColWidth="10.83203125" defaultRowHeight="16" x14ac:dyDescent="0.2"/>
  <cols>
    <col min="1" max="1" width="19.6640625" style="1" customWidth="1"/>
    <col min="2" max="2" width="43.1640625" style="1" customWidth="1"/>
    <col min="3" max="8" width="12.83203125" style="1" customWidth="1"/>
    <col min="9" max="16384" width="10.83203125" style="1"/>
  </cols>
  <sheetData>
    <row r="1" spans="1:14" ht="102" customHeight="1" x14ac:dyDescent="0.2">
      <c r="A1" s="19" t="s">
        <v>8</v>
      </c>
      <c r="B1" s="19"/>
      <c r="C1" s="5"/>
      <c r="D1" s="5"/>
      <c r="E1" s="5"/>
      <c r="F1" s="5"/>
      <c r="G1" s="5"/>
      <c r="H1" s="5"/>
      <c r="I1" s="5"/>
      <c r="J1" s="5"/>
      <c r="K1" s="5"/>
      <c r="L1" s="5"/>
      <c r="M1" s="5"/>
      <c r="N1" s="5"/>
    </row>
    <row r="2" spans="1:14" ht="102" customHeight="1" x14ac:dyDescent="0.25">
      <c r="A2" s="72" t="s">
        <v>9</v>
      </c>
      <c r="B2" s="72"/>
      <c r="C2" s="72"/>
      <c r="D2" s="72"/>
      <c r="E2" s="72"/>
      <c r="F2" s="72"/>
      <c r="G2" s="72"/>
      <c r="H2" s="72"/>
      <c r="I2" s="72"/>
      <c r="J2" s="72"/>
      <c r="K2" s="72"/>
      <c r="L2" s="72"/>
      <c r="M2" s="6"/>
      <c r="N2" s="6"/>
    </row>
    <row r="4" spans="1:14" x14ac:dyDescent="0.2">
      <c r="A4" s="11" t="s">
        <v>10</v>
      </c>
      <c r="B4" s="51" t="s">
        <v>11</v>
      </c>
      <c r="C4" s="20">
        <f>IF(B4='Luettelojen sisällöt'!H2,21*7.5*12,IF(Ajankäyttö!B4='Luettelojen sisällöt'!H3,11*21*7.5,Ajankäyttö!B5))</f>
        <v>1732.5</v>
      </c>
      <c r="D4" s="20" t="s">
        <v>12</v>
      </c>
    </row>
    <row r="5" spans="1:14" ht="26" customHeight="1" x14ac:dyDescent="0.2">
      <c r="A5" s="1">
        <f>IF(B4='Luettelojen sisällöt'!H4,"Tuntimäärä vuodessa:",0)</f>
        <v>0</v>
      </c>
      <c r="B5" s="45"/>
    </row>
    <row r="6" spans="1:14" ht="30" customHeight="1" x14ac:dyDescent="0.2">
      <c r="A6" s="21" t="s">
        <v>13</v>
      </c>
    </row>
    <row r="7" spans="1:14" x14ac:dyDescent="0.2">
      <c r="A7" s="3" t="str">
        <f>IF(OR(Aloitus!$C$5='Luettelojen sisällöt'!$D$3,Aloitus!$C$5='Luettelojen sisällöt'!$D$7),"Palvelut",IF(Aloitus!C5='Luettelojen sisällöt'!D4,0,"Tuoteet"))</f>
        <v>Tuoteet</v>
      </c>
      <c r="C7" s="1" t="str">
        <f>IF($A$7&gt;0,"Valmistusaika",0)</f>
        <v>Valmistusaika</v>
      </c>
      <c r="D7" s="1" t="str">
        <f>IF($A$7&gt;0,"Markkinointi",0)</f>
        <v>Markkinointi</v>
      </c>
      <c r="E7" s="1" t="str">
        <f>IF($A$7&gt;0,"Hankinnat",0)</f>
        <v>Hankinnat</v>
      </c>
      <c r="F7" s="1" t="str">
        <f>IF($A$7&gt;0,"Matka-aika",0)</f>
        <v>Matka-aika</v>
      </c>
      <c r="G7" s="1" t="str">
        <f>IF($A$7&gt;0,"Muu aika",0)</f>
        <v>Muu aika</v>
      </c>
      <c r="H7" s="3" t="str">
        <f>IF($A$7&gt;0,"Yhteensä",0)</f>
        <v>Yhteensä</v>
      </c>
    </row>
    <row r="8" spans="1:14" x14ac:dyDescent="0.2">
      <c r="A8" s="2">
        <f>IF(Aloitus!B12&gt;0,1,0)</f>
        <v>0</v>
      </c>
      <c r="B8" s="1" cm="1">
        <f t="array" ref="B8:B17">Aloitus!C12:C21</f>
        <v>0</v>
      </c>
      <c r="C8" s="45"/>
      <c r="D8" s="45"/>
      <c r="E8" s="45"/>
      <c r="F8" s="45"/>
      <c r="G8" s="45"/>
      <c r="H8" s="1">
        <f>SUM(C8:G8)</f>
        <v>0</v>
      </c>
      <c r="I8" s="1">
        <f>IF(H8&gt;0,"tuntia/yksikkö",0)</f>
        <v>0</v>
      </c>
    </row>
    <row r="9" spans="1:14" x14ac:dyDescent="0.2">
      <c r="A9" s="2">
        <v>0</v>
      </c>
      <c r="B9" s="1">
        <v>0</v>
      </c>
      <c r="C9" s="45"/>
      <c r="D9" s="45"/>
      <c r="E9" s="45"/>
      <c r="F9" s="45"/>
      <c r="G9" s="45"/>
      <c r="H9" s="1">
        <f t="shared" ref="H9:H16" si="0">SUM(C9:G9)</f>
        <v>0</v>
      </c>
      <c r="I9" s="1">
        <f t="shared" ref="I9:I29" si="1">IF(H9&gt;0,"tuntia/yksikkö",0)</f>
        <v>0</v>
      </c>
    </row>
    <row r="10" spans="1:14" x14ac:dyDescent="0.2">
      <c r="A10" s="2">
        <f>IF(Aloitus!B14&gt;0,1,0)</f>
        <v>0</v>
      </c>
      <c r="B10" s="1">
        <v>0</v>
      </c>
      <c r="C10" s="45"/>
      <c r="D10" s="45"/>
      <c r="E10" s="45"/>
      <c r="F10" s="45"/>
      <c r="G10" s="45"/>
      <c r="H10" s="1">
        <f t="shared" si="0"/>
        <v>0</v>
      </c>
      <c r="I10" s="1">
        <f t="shared" si="1"/>
        <v>0</v>
      </c>
    </row>
    <row r="11" spans="1:14" x14ac:dyDescent="0.2">
      <c r="A11" s="2">
        <v>0</v>
      </c>
      <c r="B11" s="1">
        <v>0</v>
      </c>
      <c r="C11" s="45"/>
      <c r="D11" s="45"/>
      <c r="E11" s="45"/>
      <c r="F11" s="45"/>
      <c r="G11" s="45"/>
      <c r="H11" s="1">
        <f t="shared" si="0"/>
        <v>0</v>
      </c>
      <c r="I11" s="1">
        <f t="shared" si="1"/>
        <v>0</v>
      </c>
    </row>
    <row r="12" spans="1:14" x14ac:dyDescent="0.2">
      <c r="A12" s="2">
        <f>IF(Aloitus!B16&gt;0,1,0)</f>
        <v>0</v>
      </c>
      <c r="B12" s="1">
        <v>0</v>
      </c>
      <c r="C12" s="45"/>
      <c r="D12" s="45"/>
      <c r="E12" s="45"/>
      <c r="F12" s="45"/>
      <c r="G12" s="45"/>
      <c r="H12" s="1">
        <f t="shared" si="0"/>
        <v>0</v>
      </c>
      <c r="I12" s="1">
        <f t="shared" si="1"/>
        <v>0</v>
      </c>
    </row>
    <row r="13" spans="1:14" x14ac:dyDescent="0.2">
      <c r="A13" s="2">
        <v>0</v>
      </c>
      <c r="B13" s="1">
        <v>0</v>
      </c>
      <c r="C13" s="45"/>
      <c r="D13" s="45"/>
      <c r="E13" s="45"/>
      <c r="F13" s="45"/>
      <c r="G13" s="45"/>
      <c r="H13" s="1">
        <f t="shared" si="0"/>
        <v>0</v>
      </c>
      <c r="I13" s="1">
        <f t="shared" si="1"/>
        <v>0</v>
      </c>
    </row>
    <row r="14" spans="1:14" x14ac:dyDescent="0.2">
      <c r="A14" s="2">
        <f>IF(Aloitus!B18&gt;0,1,0)</f>
        <v>0</v>
      </c>
      <c r="B14" s="1">
        <v>0</v>
      </c>
      <c r="C14" s="45"/>
      <c r="D14" s="45"/>
      <c r="E14" s="45"/>
      <c r="F14" s="45"/>
      <c r="G14" s="45"/>
      <c r="H14" s="1">
        <f t="shared" si="0"/>
        <v>0</v>
      </c>
      <c r="I14" s="1">
        <f t="shared" si="1"/>
        <v>0</v>
      </c>
    </row>
    <row r="15" spans="1:14" x14ac:dyDescent="0.2">
      <c r="A15" s="2">
        <v>0</v>
      </c>
      <c r="B15" s="1">
        <v>0</v>
      </c>
      <c r="C15" s="45"/>
      <c r="D15" s="45"/>
      <c r="E15" s="45"/>
      <c r="F15" s="45"/>
      <c r="G15" s="45"/>
      <c r="H15" s="1">
        <f t="shared" si="0"/>
        <v>0</v>
      </c>
      <c r="I15" s="1">
        <f t="shared" si="1"/>
        <v>0</v>
      </c>
    </row>
    <row r="16" spans="1:14" x14ac:dyDescent="0.2">
      <c r="A16" s="2">
        <f>IF(Aloitus!B20&gt;0,1,0)</f>
        <v>0</v>
      </c>
      <c r="B16" s="1">
        <v>0</v>
      </c>
      <c r="C16" s="45"/>
      <c r="D16" s="45"/>
      <c r="E16" s="45"/>
      <c r="F16" s="45"/>
      <c r="G16" s="45"/>
      <c r="H16" s="1">
        <f t="shared" si="0"/>
        <v>0</v>
      </c>
      <c r="I16" s="1">
        <f t="shared" si="1"/>
        <v>0</v>
      </c>
    </row>
    <row r="17" spans="1:9" x14ac:dyDescent="0.2">
      <c r="A17" s="2">
        <v>0</v>
      </c>
      <c r="B17" s="1">
        <v>0</v>
      </c>
      <c r="C17" s="45"/>
      <c r="D17" s="45"/>
      <c r="E17" s="45"/>
      <c r="F17" s="45"/>
      <c r="G17" s="45"/>
      <c r="H17" s="1">
        <f>SUM(C17:G17)</f>
        <v>0</v>
      </c>
      <c r="I17" s="1">
        <f t="shared" si="1"/>
        <v>0</v>
      </c>
    </row>
    <row r="18" spans="1:9" s="3" customFormat="1" x14ac:dyDescent="0.2">
      <c r="A18" s="15">
        <f>IF(A7&gt;0,1,0)</f>
        <v>1</v>
      </c>
      <c r="C18" s="3">
        <f>SUM(C8:C17)</f>
        <v>0</v>
      </c>
      <c r="D18" s="3">
        <f t="shared" ref="D18:G18" si="2">SUM(D8:D17)</f>
        <v>0</v>
      </c>
      <c r="E18" s="3">
        <f t="shared" si="2"/>
        <v>0</v>
      </c>
      <c r="F18" s="3">
        <f t="shared" si="2"/>
        <v>0</v>
      </c>
      <c r="G18" s="3">
        <f t="shared" si="2"/>
        <v>0</v>
      </c>
      <c r="H18" s="3">
        <f>SUM(C18:G18)</f>
        <v>0</v>
      </c>
      <c r="I18" s="3">
        <f>IF(H18&gt;0,"tuntia",0)</f>
        <v>0</v>
      </c>
    </row>
    <row r="19" spans="1:9" x14ac:dyDescent="0.2">
      <c r="A19" s="3" t="str">
        <f>IF(OR(Aloitus!$C$5='Luettelojen sisällöt'!$D$5,Aloitus!$C$5='Luettelojen sisällöt'!$D$8),"Palvelut",0)</f>
        <v>Palvelut</v>
      </c>
      <c r="C19" s="45"/>
      <c r="D19" s="45"/>
      <c r="E19" s="45"/>
      <c r="F19" s="45"/>
      <c r="G19" s="45"/>
      <c r="H19" s="1">
        <f>SUM(C19:G19)</f>
        <v>0</v>
      </c>
      <c r="I19" s="1">
        <f>IF(H19&gt;0,"tuntia",0)</f>
        <v>0</v>
      </c>
    </row>
    <row r="20" spans="1:9" x14ac:dyDescent="0.2">
      <c r="A20" s="2">
        <f>IF(Aloitus!D12&gt;0,1,0)</f>
        <v>0</v>
      </c>
      <c r="B20" s="1" cm="1">
        <f t="array" ref="B20:B29">Aloitus!E12:E21</f>
        <v>0</v>
      </c>
      <c r="C20" s="45"/>
      <c r="D20" s="45"/>
      <c r="E20" s="45"/>
      <c r="F20" s="45"/>
      <c r="G20" s="45"/>
      <c r="H20" s="1">
        <f t="shared" ref="H20:H29" si="3">SUM(C20:G20)</f>
        <v>0</v>
      </c>
      <c r="I20" s="1">
        <f t="shared" si="1"/>
        <v>0</v>
      </c>
    </row>
    <row r="21" spans="1:9" x14ac:dyDescent="0.2">
      <c r="A21" s="2">
        <v>0</v>
      </c>
      <c r="B21" s="1">
        <v>0</v>
      </c>
      <c r="C21" s="45"/>
      <c r="D21" s="45"/>
      <c r="E21" s="45"/>
      <c r="F21" s="45"/>
      <c r="G21" s="45"/>
      <c r="H21" s="1">
        <f t="shared" si="3"/>
        <v>0</v>
      </c>
      <c r="I21" s="1">
        <f t="shared" si="1"/>
        <v>0</v>
      </c>
    </row>
    <row r="22" spans="1:9" x14ac:dyDescent="0.2">
      <c r="A22" s="2">
        <f>IF(Aloitus!D14&gt;0,1,0)</f>
        <v>0</v>
      </c>
      <c r="B22" s="1">
        <v>0</v>
      </c>
      <c r="C22" s="45"/>
      <c r="D22" s="45"/>
      <c r="E22" s="45"/>
      <c r="F22" s="45"/>
      <c r="G22" s="45"/>
      <c r="H22" s="1">
        <f t="shared" si="3"/>
        <v>0</v>
      </c>
      <c r="I22" s="1">
        <f t="shared" si="1"/>
        <v>0</v>
      </c>
    </row>
    <row r="23" spans="1:9" x14ac:dyDescent="0.2">
      <c r="A23" s="2">
        <v>0</v>
      </c>
      <c r="B23" s="1">
        <v>0</v>
      </c>
      <c r="C23" s="45"/>
      <c r="D23" s="45"/>
      <c r="E23" s="45"/>
      <c r="F23" s="45"/>
      <c r="G23" s="45"/>
      <c r="H23" s="1">
        <f t="shared" si="3"/>
        <v>0</v>
      </c>
      <c r="I23" s="1">
        <f t="shared" si="1"/>
        <v>0</v>
      </c>
    </row>
    <row r="24" spans="1:9" x14ac:dyDescent="0.2">
      <c r="A24" s="2">
        <f>IF(Aloitus!D16&gt;0,1,0)</f>
        <v>0</v>
      </c>
      <c r="B24" s="1">
        <v>0</v>
      </c>
      <c r="C24" s="45"/>
      <c r="D24" s="45"/>
      <c r="E24" s="45"/>
      <c r="F24" s="45"/>
      <c r="G24" s="45"/>
      <c r="H24" s="1">
        <f t="shared" si="3"/>
        <v>0</v>
      </c>
      <c r="I24" s="1">
        <f t="shared" si="1"/>
        <v>0</v>
      </c>
    </row>
    <row r="25" spans="1:9" x14ac:dyDescent="0.2">
      <c r="A25" s="2">
        <v>0</v>
      </c>
      <c r="B25" s="1">
        <v>0</v>
      </c>
      <c r="C25" s="45"/>
      <c r="D25" s="45"/>
      <c r="E25" s="45"/>
      <c r="F25" s="45"/>
      <c r="G25" s="45"/>
      <c r="H25" s="1">
        <f t="shared" si="3"/>
        <v>0</v>
      </c>
      <c r="I25" s="1">
        <f t="shared" si="1"/>
        <v>0</v>
      </c>
    </row>
    <row r="26" spans="1:9" x14ac:dyDescent="0.2">
      <c r="A26" s="2">
        <f>IF(Aloitus!D18&gt;0,1,0)</f>
        <v>0</v>
      </c>
      <c r="B26" s="1">
        <v>0</v>
      </c>
      <c r="C26" s="45"/>
      <c r="D26" s="45"/>
      <c r="E26" s="45"/>
      <c r="F26" s="45"/>
      <c r="G26" s="45"/>
      <c r="H26" s="1">
        <f t="shared" si="3"/>
        <v>0</v>
      </c>
      <c r="I26" s="1">
        <f t="shared" si="1"/>
        <v>0</v>
      </c>
    </row>
    <row r="27" spans="1:9" x14ac:dyDescent="0.2">
      <c r="A27" s="2">
        <v>0</v>
      </c>
      <c r="B27" s="1">
        <v>0</v>
      </c>
      <c r="C27" s="45"/>
      <c r="D27" s="45"/>
      <c r="E27" s="45"/>
      <c r="F27" s="45"/>
      <c r="G27" s="45"/>
      <c r="H27" s="1">
        <f t="shared" si="3"/>
        <v>0</v>
      </c>
      <c r="I27" s="1">
        <f t="shared" si="1"/>
        <v>0</v>
      </c>
    </row>
    <row r="28" spans="1:9" x14ac:dyDescent="0.2">
      <c r="A28" s="2">
        <f>IF(Aloitus!D20&gt;0,1,0)</f>
        <v>0</v>
      </c>
      <c r="B28" s="1">
        <v>0</v>
      </c>
      <c r="C28" s="45"/>
      <c r="D28" s="45"/>
      <c r="E28" s="45"/>
      <c r="F28" s="45"/>
      <c r="G28" s="45"/>
      <c r="H28" s="1">
        <f t="shared" si="3"/>
        <v>0</v>
      </c>
      <c r="I28" s="1">
        <f t="shared" si="1"/>
        <v>0</v>
      </c>
    </row>
    <row r="29" spans="1:9" x14ac:dyDescent="0.2">
      <c r="A29" s="2">
        <v>0</v>
      </c>
      <c r="B29" s="1">
        <v>0</v>
      </c>
      <c r="C29" s="45"/>
      <c r="D29" s="45"/>
      <c r="E29" s="45"/>
      <c r="F29" s="45"/>
      <c r="G29" s="45"/>
      <c r="H29" s="1">
        <f t="shared" si="3"/>
        <v>0</v>
      </c>
      <c r="I29" s="1">
        <f t="shared" si="1"/>
        <v>0</v>
      </c>
    </row>
    <row r="30" spans="1:9" x14ac:dyDescent="0.2">
      <c r="A30" s="2">
        <f>IF(A19&gt;0,1,0)</f>
        <v>1</v>
      </c>
      <c r="C30" s="1">
        <f>SUM(C20:C29)</f>
        <v>0</v>
      </c>
      <c r="D30" s="1">
        <f t="shared" ref="D30:G30" si="4">SUM(D20:D29)</f>
        <v>0</v>
      </c>
      <c r="E30" s="1">
        <f t="shared" si="4"/>
        <v>0</v>
      </c>
      <c r="F30" s="1">
        <f t="shared" si="4"/>
        <v>0</v>
      </c>
      <c r="G30" s="1">
        <f t="shared" si="4"/>
        <v>0</v>
      </c>
      <c r="H30" s="3">
        <f>SUM(C30:G30)</f>
        <v>0</v>
      </c>
      <c r="I30" s="3">
        <f>IF(H30&gt;0,"tuntia",0)</f>
        <v>0</v>
      </c>
    </row>
    <row r="32" spans="1:9" ht="18" customHeight="1" x14ac:dyDescent="0.2">
      <c r="A32" s="3"/>
    </row>
    <row r="33" spans="1:8" ht="41" customHeight="1" x14ac:dyDescent="0.2">
      <c r="A33" s="71" t="s">
        <v>14</v>
      </c>
      <c r="B33" s="71"/>
      <c r="C33" s="71"/>
      <c r="D33" s="71"/>
      <c r="E33" s="71"/>
      <c r="F33" s="71"/>
      <c r="G33" s="71"/>
      <c r="H33" s="4"/>
    </row>
    <row r="35" spans="1:8" x14ac:dyDescent="0.2">
      <c r="A35" s="3" t="s">
        <v>15</v>
      </c>
      <c r="C35" s="13" t="s">
        <v>12</v>
      </c>
      <c r="D35" s="3"/>
    </row>
    <row r="36" spans="1:8" x14ac:dyDescent="0.2">
      <c r="B36" s="61" t="s">
        <v>16</v>
      </c>
      <c r="C36" s="49"/>
    </row>
    <row r="37" spans="1:8" x14ac:dyDescent="0.2">
      <c r="B37" s="62" t="s">
        <v>17</v>
      </c>
      <c r="C37" s="46"/>
    </row>
    <row r="38" spans="1:8" x14ac:dyDescent="0.2">
      <c r="B38" s="63" t="s">
        <v>18</v>
      </c>
      <c r="C38" s="49"/>
    </row>
    <row r="39" spans="1:8" x14ac:dyDescent="0.2">
      <c r="B39" s="64" t="s">
        <v>19</v>
      </c>
      <c r="C39" s="46"/>
    </row>
    <row r="40" spans="1:8" x14ac:dyDescent="0.2">
      <c r="B40" s="63" t="s">
        <v>20</v>
      </c>
      <c r="C40" s="49"/>
    </row>
    <row r="41" spans="1:8" x14ac:dyDescent="0.2">
      <c r="B41" s="64" t="s">
        <v>21</v>
      </c>
      <c r="C41" s="46"/>
    </row>
    <row r="42" spans="1:8" ht="17" thickBot="1" x14ac:dyDescent="0.25">
      <c r="B42" s="65" t="s">
        <v>22</v>
      </c>
      <c r="C42" s="50"/>
    </row>
    <row r="43" spans="1:8" ht="17" thickTop="1" x14ac:dyDescent="0.2">
      <c r="B43" s="66" t="s">
        <v>23</v>
      </c>
      <c r="C43" s="14">
        <f>SUM(C36:C42)</f>
        <v>0</v>
      </c>
    </row>
    <row r="59" spans="1:14" x14ac:dyDescent="0.2">
      <c r="A59" s="5"/>
      <c r="B59" s="5"/>
      <c r="C59" s="5"/>
      <c r="D59" s="5"/>
      <c r="E59" s="5"/>
      <c r="F59" s="5"/>
      <c r="G59" s="5"/>
      <c r="H59" s="5"/>
      <c r="I59" s="5"/>
      <c r="J59" s="5"/>
      <c r="K59" s="5"/>
      <c r="L59" s="5"/>
      <c r="M59" s="5"/>
      <c r="N59" s="5"/>
    </row>
  </sheetData>
  <sheetProtection algorithmName="SHA-512" hashValue="yhq+ISFwrfKQh3LHgwk9dNHSnWB6+4ttJJ/Y3W2ORK7kUa4gVR+g/7EP2W4i2GKOMIvM60sQUPzluDtP77NfHA==" saltValue="m68nnkWVK3Y3DWSQYSVgRg==" spinCount="100000" sheet="1" objects="1" scenarios="1" selectLockedCells="1"/>
  <mergeCells count="2">
    <mergeCell ref="A33:G33"/>
    <mergeCell ref="A2:L2"/>
  </mergeCells>
  <conditionalFormatting sqref="A8:A17">
    <cfRule type="cellIs" dxfId="27" priority="9" operator="equal">
      <formula>0</formula>
    </cfRule>
  </conditionalFormatting>
  <conditionalFormatting sqref="A1:XFD1 A2 M2:XFD2 A3:XFD1048576">
    <cfRule type="cellIs" dxfId="26" priority="17" operator="equal">
      <formula>0</formula>
    </cfRule>
  </conditionalFormatting>
  <conditionalFormatting sqref="B5">
    <cfRule type="expression" dxfId="25" priority="1">
      <formula>$A$5&gt;0</formula>
    </cfRule>
  </conditionalFormatting>
  <conditionalFormatting sqref="B8:G17">
    <cfRule type="expression" dxfId="24" priority="10">
      <formula>$A8=1</formula>
    </cfRule>
  </conditionalFormatting>
  <conditionalFormatting sqref="B20:G29">
    <cfRule type="expression" dxfId="23" priority="8">
      <formula>$A20=1</formula>
    </cfRule>
  </conditionalFormatting>
  <conditionalFormatting sqref="B18:H18">
    <cfRule type="expression" dxfId="22" priority="6">
      <formula>$A18=1</formula>
    </cfRule>
  </conditionalFormatting>
  <conditionalFormatting sqref="B30:H30">
    <cfRule type="expression" dxfId="21" priority="7">
      <formula>$A30=1</formula>
    </cfRule>
  </conditionalFormatting>
  <conditionalFormatting sqref="C8:G17">
    <cfRule type="expression" dxfId="20" priority="3">
      <formula>$B8&gt;0</formula>
    </cfRule>
  </conditionalFormatting>
  <conditionalFormatting sqref="C20:G29">
    <cfRule type="expression" dxfId="19" priority="2">
      <formula>$B20&gt;0</formula>
    </cfRule>
  </conditionalFormatting>
  <conditionalFormatting sqref="H8:H18">
    <cfRule type="expression" dxfId="18" priority="5">
      <formula>$A8=1</formula>
    </cfRule>
  </conditionalFormatting>
  <conditionalFormatting sqref="H20:H29">
    <cfRule type="expression" dxfId="17" priority="4">
      <formula>$A20=1</formula>
    </cfRule>
  </conditionalFormatting>
  <pageMargins left="0.7" right="0.7" top="0.75" bottom="0.75" header="0.3" footer="0.3"/>
  <drawing r:id="rId1"/>
  <extLst>
    <ext xmlns:x14="http://schemas.microsoft.com/office/spreadsheetml/2009/9/main" uri="{CCE6A557-97BC-4b89-ADB6-D9C93CAAB3DF}">
      <x14:dataValidations xmlns:xm="http://schemas.microsoft.com/office/excel/2006/main" count="1">
        <x14:dataValidation type="list" allowBlank="1" showInputMessage="1" showErrorMessage="1" xr:uid="{546B3444-BFB8-954E-859A-F9612D344DB5}">
          <x14:formula1>
            <xm:f>'Luettelojen sisällöt'!$H$2:$H$4</xm:f>
          </x14:formula1>
          <xm:sqref>B4</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3B15AE4-5250-6A48-834C-898ADC9D3635}">
  <dimension ref="A1:O45"/>
  <sheetViews>
    <sheetView showGridLines="0" zoomScale="109" workbookViewId="0">
      <selection activeCell="C6" sqref="C6"/>
    </sheetView>
  </sheetViews>
  <sheetFormatPr baseColWidth="10" defaultColWidth="10.83203125" defaultRowHeight="16" x14ac:dyDescent="0.2"/>
  <cols>
    <col min="1" max="1" width="14.83203125" style="1" customWidth="1"/>
    <col min="2" max="2" width="43.1640625" style="1" customWidth="1"/>
    <col min="3" max="3" width="16.33203125" style="1" customWidth="1"/>
    <col min="4" max="4" width="15.6640625" style="1" customWidth="1"/>
    <col min="5" max="5" width="15.33203125" style="1" customWidth="1"/>
    <col min="6" max="16384" width="10.83203125" style="1"/>
  </cols>
  <sheetData>
    <row r="1" spans="1:15" ht="102" customHeight="1" x14ac:dyDescent="0.2">
      <c r="A1" s="19" t="s">
        <v>24</v>
      </c>
      <c r="B1" s="39"/>
      <c r="C1" s="5"/>
      <c r="D1" s="5"/>
      <c r="E1" s="5"/>
      <c r="F1" s="5"/>
      <c r="G1" s="5"/>
      <c r="H1" s="5"/>
      <c r="I1" s="5"/>
      <c r="J1" s="5"/>
      <c r="K1" s="5"/>
      <c r="L1" s="5"/>
      <c r="M1" s="5"/>
      <c r="N1" s="5"/>
      <c r="O1" s="5"/>
    </row>
    <row r="2" spans="1:15" ht="102" customHeight="1" x14ac:dyDescent="0.25">
      <c r="A2" s="73" t="s">
        <v>25</v>
      </c>
      <c r="B2" s="73"/>
      <c r="C2" s="73"/>
      <c r="D2" s="73"/>
      <c r="E2" s="73"/>
      <c r="F2" s="73"/>
      <c r="G2" s="73"/>
      <c r="H2" s="6"/>
      <c r="I2" s="6"/>
      <c r="J2" s="6"/>
      <c r="K2" s="6"/>
      <c r="L2" s="6"/>
      <c r="M2" s="6"/>
      <c r="N2" s="5"/>
      <c r="O2" s="5"/>
    </row>
    <row r="3" spans="1:15" ht="56" customHeight="1" x14ac:dyDescent="0.25">
      <c r="A3" s="74" t="str">
        <f>CONCATENATE("Aikaisemmalla välilehdellä suunnittelit työtuntien kokonaismääräksi ",Ajankäyttö!C4," h/vuosi"," Yritystoiminnan pyörittämiseen suunnittelit kuluvan aikaa ",Ajankäyttö!C43, " h/vuosi ")</f>
        <v xml:space="preserve">Aikaisemmalla välilehdellä suunnittelit työtuntien kokonaismääräksi 1732,5 h/vuosi Yritystoiminnan pyörittämiseen suunnittelit kuluvan aikaa 0 h/vuosi </v>
      </c>
      <c r="B3" s="74"/>
      <c r="C3" s="74"/>
      <c r="D3" s="67" t="str">
        <f>CONCATENATE(" Käytettävissäsi on siis ",Ajankäyttö!C4-Ajankäyttö!C43, " tuntia")</f>
        <v xml:space="preserve"> Käytettävissäsi on siis 1732,5 tuntia</v>
      </c>
      <c r="E3" s="68"/>
    </row>
    <row r="4" spans="1:15" x14ac:dyDescent="0.2">
      <c r="A4" s="3"/>
    </row>
    <row r="5" spans="1:15" x14ac:dyDescent="0.2">
      <c r="A5" s="3"/>
      <c r="B5" s="3" t="str">
        <f>IF(OR(Aloitus!$C$5='Luettelojen sisällöt'!$D$4,Aloitus!$C$5='Luettelojen sisällöt'!$D$6,Aloitus!$C$5='Luettelojen sisällöt'!$D$7,Aloitus!$C$5='Luettelojen sisällöt'!$D$8),"Laskutettavat tunnit",0)</f>
        <v>Laskutettavat tunnit</v>
      </c>
      <c r="C5" s="12" t="s">
        <v>26</v>
      </c>
      <c r="D5" s="5" t="s">
        <v>27</v>
      </c>
      <c r="E5" s="5"/>
    </row>
    <row r="6" spans="1:15" x14ac:dyDescent="0.2">
      <c r="A6" s="15">
        <f>IF(OR(Aloitus!$C$5='Luettelojen sisällöt'!$D$4,Aloitus!$C$5='Luettelojen sisällöt'!$D$6,Aloitus!$C$5='Luettelojen sisällöt'!$D$7,Aloitus!$C$5='Luettelojen sisällöt'!$D$8),1,0)</f>
        <v>1</v>
      </c>
      <c r="B6" s="18" t="str">
        <f>B5</f>
        <v>Laskutettavat tunnit</v>
      </c>
      <c r="C6" s="45"/>
      <c r="D6" s="1">
        <f>C6</f>
        <v>0</v>
      </c>
    </row>
    <row r="7" spans="1:15" x14ac:dyDescent="0.2">
      <c r="A7" s="3"/>
    </row>
    <row r="8" spans="1:15" x14ac:dyDescent="0.2">
      <c r="B8" s="3" t="str">
        <f>IF(OR(Aloitus!$C$5='Luettelojen sisällöt'!$D$3,Aloitus!$C$5='Luettelojen sisällöt'!$D$7),"Palvelut",IF(Aloitus!C5='Luettelojen sisällöt'!D4,0,"Tuoteet"))</f>
        <v>Tuoteet</v>
      </c>
      <c r="C8" s="12" t="s">
        <v>26</v>
      </c>
    </row>
    <row r="9" spans="1:15" x14ac:dyDescent="0.2">
      <c r="A9" s="2">
        <f>IF(Aloitus!B12&gt;0,1,0)</f>
        <v>0</v>
      </c>
      <c r="B9" s="1" cm="1">
        <f t="array" ref="B9:B18">Aloitus!C12:C21</f>
        <v>0</v>
      </c>
      <c r="C9" s="45"/>
      <c r="D9" s="1">
        <f>IF(B9&gt;0,C9*Ajankäyttö!H8,0)</f>
        <v>0</v>
      </c>
      <c r="E9" s="1">
        <f>IF(D9&gt;0,"Tuntia",0)</f>
        <v>0</v>
      </c>
    </row>
    <row r="10" spans="1:15" x14ac:dyDescent="0.2">
      <c r="A10" s="2">
        <f>IF(Aloitus!B13&gt;0,1,0)</f>
        <v>0</v>
      </c>
      <c r="B10" s="1">
        <v>0</v>
      </c>
      <c r="C10" s="45"/>
      <c r="D10" s="1">
        <f>IF(B10&gt;0,C10*Ajankäyttö!H9,0)</f>
        <v>0</v>
      </c>
      <c r="E10" s="1">
        <f t="shared" ref="E10:E30" si="0">IF(D10&gt;0,"Tuntia",0)</f>
        <v>0</v>
      </c>
    </row>
    <row r="11" spans="1:15" x14ac:dyDescent="0.2">
      <c r="A11" s="2">
        <f>IF(Aloitus!B14&gt;0,1,0)</f>
        <v>0</v>
      </c>
      <c r="B11" s="1">
        <v>0</v>
      </c>
      <c r="C11" s="45"/>
      <c r="D11" s="1">
        <f>IF(B11&gt;0,C11*Ajankäyttö!H10,0)</f>
        <v>0</v>
      </c>
      <c r="E11" s="1">
        <f t="shared" si="0"/>
        <v>0</v>
      </c>
    </row>
    <row r="12" spans="1:15" x14ac:dyDescent="0.2">
      <c r="A12" s="2">
        <f>IF(Aloitus!B15&gt;0,1,0)</f>
        <v>0</v>
      </c>
      <c r="B12" s="1">
        <v>0</v>
      </c>
      <c r="C12" s="45"/>
      <c r="D12" s="1">
        <f>IF(B12&gt;0,C12*Ajankäyttö!H11,0)</f>
        <v>0</v>
      </c>
      <c r="E12" s="1">
        <f t="shared" si="0"/>
        <v>0</v>
      </c>
    </row>
    <row r="13" spans="1:15" x14ac:dyDescent="0.2">
      <c r="A13" s="2">
        <f>IF(Aloitus!B16&gt;0,1,0)</f>
        <v>0</v>
      </c>
      <c r="B13" s="1">
        <v>0</v>
      </c>
      <c r="C13" s="45"/>
      <c r="D13" s="1">
        <f>IF(B13&gt;0,C13*Ajankäyttö!H12,0)</f>
        <v>0</v>
      </c>
      <c r="E13" s="1">
        <f t="shared" si="0"/>
        <v>0</v>
      </c>
    </row>
    <row r="14" spans="1:15" x14ac:dyDescent="0.2">
      <c r="A14" s="2">
        <f>IF(Aloitus!B17&gt;0,1,0)</f>
        <v>0</v>
      </c>
      <c r="B14" s="1">
        <v>0</v>
      </c>
      <c r="C14" s="45"/>
      <c r="D14" s="1">
        <f>IF(B14&gt;0,C14*Ajankäyttö!H13,0)</f>
        <v>0</v>
      </c>
      <c r="E14" s="1">
        <f t="shared" si="0"/>
        <v>0</v>
      </c>
    </row>
    <row r="15" spans="1:15" x14ac:dyDescent="0.2">
      <c r="A15" s="2">
        <f>IF(Aloitus!B18&gt;0,1,0)</f>
        <v>0</v>
      </c>
      <c r="B15" s="1">
        <v>0</v>
      </c>
      <c r="C15" s="45"/>
      <c r="D15" s="1">
        <f>IF(B15&gt;0,C15*Ajankäyttö!H14,0)</f>
        <v>0</v>
      </c>
      <c r="E15" s="1">
        <f t="shared" si="0"/>
        <v>0</v>
      </c>
    </row>
    <row r="16" spans="1:15" x14ac:dyDescent="0.2">
      <c r="A16" s="2">
        <f>IF(Aloitus!B19&gt;0,1,0)</f>
        <v>0</v>
      </c>
      <c r="B16" s="1">
        <v>0</v>
      </c>
      <c r="C16" s="45"/>
      <c r="D16" s="1">
        <f>IF(B16&gt;0,C16*Ajankäyttö!H15,0)</f>
        <v>0</v>
      </c>
      <c r="E16" s="1">
        <f t="shared" si="0"/>
        <v>0</v>
      </c>
    </row>
    <row r="17" spans="1:13" x14ac:dyDescent="0.2">
      <c r="A17" s="2">
        <f>IF(Aloitus!B20&gt;0,1,0)</f>
        <v>0</v>
      </c>
      <c r="B17" s="1">
        <v>0</v>
      </c>
      <c r="C17" s="45"/>
      <c r="D17" s="1">
        <f>IF(B17&gt;0,C17*Ajankäyttö!H16,0)</f>
        <v>0</v>
      </c>
      <c r="E17" s="1">
        <f t="shared" si="0"/>
        <v>0</v>
      </c>
    </row>
    <row r="18" spans="1:13" x14ac:dyDescent="0.2">
      <c r="A18" s="2">
        <f>IF(Aloitus!B21&gt;0,1,0)</f>
        <v>0</v>
      </c>
      <c r="B18" s="1">
        <v>0</v>
      </c>
      <c r="C18" s="45"/>
      <c r="D18" s="1">
        <f>IF(B18&gt;0,C18*Ajankäyttö!H17,0)</f>
        <v>0</v>
      </c>
      <c r="E18" s="1">
        <f t="shared" si="0"/>
        <v>0</v>
      </c>
    </row>
    <row r="19" spans="1:13" x14ac:dyDescent="0.2">
      <c r="A19" s="2"/>
      <c r="E19" s="1">
        <f t="shared" si="0"/>
        <v>0</v>
      </c>
    </row>
    <row r="20" spans="1:13" x14ac:dyDescent="0.2">
      <c r="A20" s="2"/>
      <c r="B20" s="3" t="str">
        <f>IF(OR(Aloitus!$C$5='Luettelojen sisällöt'!$D$5,Aloitus!$C$5='Luettelojen sisällöt'!$D$8),"Palvelut",0)</f>
        <v>Palvelut</v>
      </c>
      <c r="C20" s="12" t="s">
        <v>26</v>
      </c>
      <c r="E20" s="1">
        <f t="shared" si="0"/>
        <v>0</v>
      </c>
    </row>
    <row r="21" spans="1:13" x14ac:dyDescent="0.2">
      <c r="A21" s="2">
        <f>IF(Aloitus!D12&gt;0,1,0)</f>
        <v>0</v>
      </c>
      <c r="B21" s="1" cm="1">
        <f t="array" ref="B21:B30">Aloitus!E12:E21</f>
        <v>0</v>
      </c>
      <c r="C21" s="45"/>
      <c r="D21" s="1">
        <f>IF(B21&gt;0,C21*Ajankäyttö!H20,0)</f>
        <v>0</v>
      </c>
      <c r="E21" s="1">
        <f t="shared" si="0"/>
        <v>0</v>
      </c>
    </row>
    <row r="22" spans="1:13" x14ac:dyDescent="0.2">
      <c r="A22" s="2">
        <f>IF(Aloitus!D13&gt;0,1,0)</f>
        <v>0</v>
      </c>
      <c r="B22" s="1">
        <v>0</v>
      </c>
      <c r="C22" s="45"/>
      <c r="D22" s="1">
        <f>IF(B22&gt;0,C22*Ajankäyttö!H21,0)</f>
        <v>0</v>
      </c>
      <c r="E22" s="1">
        <f t="shared" si="0"/>
        <v>0</v>
      </c>
    </row>
    <row r="23" spans="1:13" x14ac:dyDescent="0.2">
      <c r="A23" s="2">
        <f>IF(Aloitus!D14&gt;0,1,0)</f>
        <v>0</v>
      </c>
      <c r="B23" s="1">
        <v>0</v>
      </c>
      <c r="C23" s="45"/>
      <c r="D23" s="1">
        <f>IF(B23&gt;0,C23*Ajankäyttö!H22,0)</f>
        <v>0</v>
      </c>
      <c r="E23" s="1">
        <f t="shared" si="0"/>
        <v>0</v>
      </c>
      <c r="M23" s="1" t="str">
        <f>IF(D31&gt;(Ajankäyttö!C4-Ajankäyttö!C43),"Suunnittelemasi aika ei riitä!","Aika näyttää riittävän!")</f>
        <v>Aika näyttää riittävän!</v>
      </c>
    </row>
    <row r="24" spans="1:13" x14ac:dyDescent="0.2">
      <c r="A24" s="2">
        <f>IF(Aloitus!D15&gt;0,1,0)</f>
        <v>0</v>
      </c>
      <c r="B24" s="1">
        <v>0</v>
      </c>
      <c r="C24" s="45"/>
      <c r="D24" s="1">
        <f>IF(B24&gt;0,C24*Ajankäyttö!H23,0)</f>
        <v>0</v>
      </c>
      <c r="E24" s="1">
        <f t="shared" si="0"/>
        <v>0</v>
      </c>
    </row>
    <row r="25" spans="1:13" x14ac:dyDescent="0.2">
      <c r="A25" s="2">
        <f>IF(Aloitus!D16&gt;0,1,0)</f>
        <v>0</v>
      </c>
      <c r="B25" s="1">
        <v>0</v>
      </c>
      <c r="C25" s="45"/>
      <c r="D25" s="1">
        <f>IF(B25&gt;0,C25*Ajankäyttö!H24,0)</f>
        <v>0</v>
      </c>
      <c r="E25" s="1">
        <f t="shared" si="0"/>
        <v>0</v>
      </c>
    </row>
    <row r="26" spans="1:13" x14ac:dyDescent="0.2">
      <c r="A26" s="2">
        <f>IF(Aloitus!D17&gt;0,1,0)</f>
        <v>0</v>
      </c>
      <c r="B26" s="1">
        <v>0</v>
      </c>
      <c r="C26" s="45"/>
      <c r="D26" s="1">
        <f>IF(B26&gt;0,C26*Ajankäyttö!H25,0)</f>
        <v>0</v>
      </c>
      <c r="E26" s="1">
        <f t="shared" si="0"/>
        <v>0</v>
      </c>
    </row>
    <row r="27" spans="1:13" x14ac:dyDescent="0.2">
      <c r="A27" s="2">
        <f>IF(Aloitus!D18&gt;0,1,0)</f>
        <v>0</v>
      </c>
      <c r="B27" s="1">
        <v>0</v>
      </c>
      <c r="C27" s="45"/>
      <c r="D27" s="1">
        <f>IF(B27&gt;0,C27*Ajankäyttö!H26,0)</f>
        <v>0</v>
      </c>
      <c r="E27" s="1">
        <f t="shared" si="0"/>
        <v>0</v>
      </c>
    </row>
    <row r="28" spans="1:13" x14ac:dyDescent="0.2">
      <c r="A28" s="2">
        <f>IF(Aloitus!D19&gt;0,1,0)</f>
        <v>0</v>
      </c>
      <c r="B28" s="1">
        <v>0</v>
      </c>
      <c r="C28" s="45"/>
      <c r="D28" s="1">
        <f>IF(B28&gt;0,C28*Ajankäyttö!H27,0)</f>
        <v>0</v>
      </c>
      <c r="E28" s="1">
        <f t="shared" si="0"/>
        <v>0</v>
      </c>
    </row>
    <row r="29" spans="1:13" x14ac:dyDescent="0.2">
      <c r="A29" s="2">
        <f>IF(Aloitus!D20&gt;0,1,0)</f>
        <v>0</v>
      </c>
      <c r="B29" s="1">
        <v>0</v>
      </c>
      <c r="C29" s="45"/>
      <c r="D29" s="1">
        <f>IF(B29&gt;0,C29*Ajankäyttö!H28,0)</f>
        <v>0</v>
      </c>
      <c r="E29" s="1">
        <f t="shared" si="0"/>
        <v>0</v>
      </c>
    </row>
    <row r="30" spans="1:13" x14ac:dyDescent="0.2">
      <c r="A30" s="2">
        <f>IF(Aloitus!D21&gt;0,1,0)</f>
        <v>0</v>
      </c>
      <c r="B30" s="1">
        <v>0</v>
      </c>
      <c r="C30" s="45"/>
      <c r="D30" s="1">
        <f>IF(B30&gt;0,C30*Ajankäyttö!H29,0)</f>
        <v>0</v>
      </c>
      <c r="E30" s="1">
        <f t="shared" si="0"/>
        <v>0</v>
      </c>
    </row>
    <row r="31" spans="1:13" x14ac:dyDescent="0.2">
      <c r="A31" s="2"/>
      <c r="D31" s="1">
        <f>SUM(D6:D30)</f>
        <v>0</v>
      </c>
      <c r="E31" s="1">
        <f>IF(D31&gt;0,"Tuntia yhteensä",0)</f>
        <v>0</v>
      </c>
    </row>
    <row r="33" spans="1:15" x14ac:dyDescent="0.2">
      <c r="B33" s="60" t="s">
        <v>28</v>
      </c>
      <c r="C33" s="52"/>
      <c r="D33" s="1" t="s">
        <v>29</v>
      </c>
    </row>
    <row r="35" spans="1:15" x14ac:dyDescent="0.2">
      <c r="B35" s="71" t="s">
        <v>152</v>
      </c>
      <c r="C35" s="71"/>
      <c r="D35" s="71"/>
      <c r="E35" s="71"/>
      <c r="K35" s="1" t="str">
        <f>IF(C33=0,"Muista täyttää voittotavoite!","Voittoja kohti!")</f>
        <v>Muista täyttää voittotavoite!</v>
      </c>
    </row>
    <row r="36" spans="1:15" x14ac:dyDescent="0.2">
      <c r="B36" s="71"/>
      <c r="C36" s="71"/>
      <c r="D36" s="71"/>
      <c r="E36" s="71"/>
    </row>
    <row r="37" spans="1:15" x14ac:dyDescent="0.2">
      <c r="B37" s="71"/>
      <c r="C37" s="71"/>
      <c r="D37" s="71"/>
      <c r="E37" s="71"/>
    </row>
    <row r="38" spans="1:15" x14ac:dyDescent="0.2">
      <c r="B38" s="71"/>
      <c r="C38" s="71"/>
      <c r="D38" s="71"/>
      <c r="E38" s="71"/>
    </row>
    <row r="45" spans="1:15" x14ac:dyDescent="0.2">
      <c r="A45" s="5"/>
      <c r="B45" s="5"/>
      <c r="C45" s="5"/>
      <c r="D45" s="5"/>
      <c r="E45" s="5"/>
      <c r="F45" s="5"/>
      <c r="G45" s="5"/>
      <c r="H45" s="5"/>
      <c r="I45" s="5"/>
      <c r="J45" s="5"/>
      <c r="K45" s="5"/>
      <c r="L45" s="5"/>
      <c r="M45" s="5"/>
      <c r="N45" s="5"/>
      <c r="O45" s="5"/>
    </row>
  </sheetData>
  <sheetProtection algorithmName="SHA-512" hashValue="L99FzJoRUfwfQaKsCKbozEk+uke0BdGuLybp8vmZ+meFfkEDBEVStwAbm2iGTWq+708aEOnGx2Xzq5Bszvch3A==" saltValue="Ju8CRMsmKEiLgeAZJiJNTQ==" spinCount="100000" sheet="1" objects="1" scenarios="1" selectLockedCells="1"/>
  <mergeCells count="3">
    <mergeCell ref="A2:G2"/>
    <mergeCell ref="B35:E38"/>
    <mergeCell ref="A3:C3"/>
  </mergeCells>
  <conditionalFormatting sqref="A1:XFD1 H2:XFD2 A2:A3 D3:XFD4 A4:B4 B5:XFD5 A6:XFD27 A28:N28 P28:XFD28 A29:XFD34 A35:B35 F35:XFD38 A36:A38 A39:XFD1048576">
    <cfRule type="cellIs" dxfId="16" priority="15" operator="equal">
      <formula>0</formula>
    </cfRule>
  </conditionalFormatting>
  <conditionalFormatting sqref="B6">
    <cfRule type="expression" dxfId="15" priority="29">
      <formula>$A$6=1</formula>
    </cfRule>
  </conditionalFormatting>
  <conditionalFormatting sqref="B8">
    <cfRule type="cellIs" dxfId="14" priority="14" operator="equal">
      <formula>0</formula>
    </cfRule>
  </conditionalFormatting>
  <conditionalFormatting sqref="B9:B30">
    <cfRule type="expression" dxfId="13" priority="9">
      <formula>$A9=1</formula>
    </cfRule>
  </conditionalFormatting>
  <conditionalFormatting sqref="B20">
    <cfRule type="cellIs" dxfId="12" priority="13" operator="equal">
      <formula>0</formula>
    </cfRule>
  </conditionalFormatting>
  <conditionalFormatting sqref="C5">
    <cfRule type="expression" dxfId="11" priority="1">
      <formula>$B$8=0</formula>
    </cfRule>
    <cfRule type="expression" dxfId="10" priority="2">
      <formula>$B$5=0</formula>
    </cfRule>
  </conditionalFormatting>
  <conditionalFormatting sqref="C6">
    <cfRule type="expression" dxfId="9" priority="7">
      <formula>$A$6=1</formula>
    </cfRule>
  </conditionalFormatting>
  <conditionalFormatting sqref="C8">
    <cfRule type="expression" dxfId="8" priority="4">
      <formula>$B$8=0</formula>
    </cfRule>
  </conditionalFormatting>
  <conditionalFormatting sqref="C9:C18">
    <cfRule type="expression" dxfId="7" priority="11">
      <formula>$A9=1</formula>
    </cfRule>
  </conditionalFormatting>
  <conditionalFormatting sqref="C20">
    <cfRule type="expression" dxfId="6" priority="3">
      <formula>$B$20=0</formula>
    </cfRule>
  </conditionalFormatting>
  <conditionalFormatting sqref="C21:C30">
    <cfRule type="expression" dxfId="5" priority="10">
      <formula>$A21=1</formula>
    </cfRule>
  </conditionalFormatting>
  <conditionalFormatting sqref="D5:E31">
    <cfRule type="cellIs" dxfId="4" priority="6" operator="notEqual">
      <formula>0</formula>
    </cfRule>
  </conditionalFormatting>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E53F21B-C0DC-CC40-8B6B-90E4BC78A93E}">
  <dimension ref="A1:P39"/>
  <sheetViews>
    <sheetView showGridLines="0" workbookViewId="0">
      <selection activeCell="H5" sqref="H5"/>
    </sheetView>
  </sheetViews>
  <sheetFormatPr baseColWidth="10" defaultColWidth="10.83203125" defaultRowHeight="16" x14ac:dyDescent="0.2"/>
  <cols>
    <col min="1" max="1" width="32.83203125" style="1" customWidth="1"/>
    <col min="2" max="2" width="21.6640625" style="1" customWidth="1"/>
    <col min="3" max="3" width="16.6640625" style="23" customWidth="1"/>
    <col min="4" max="4" width="22" style="1" customWidth="1"/>
    <col min="5" max="5" width="21.6640625" style="1" customWidth="1"/>
    <col min="6" max="6" width="21.6640625" style="16" customWidth="1"/>
    <col min="7" max="7" width="21.5" style="16" customWidth="1"/>
    <col min="8" max="8" width="10.83203125" style="16"/>
    <col min="9" max="9" width="15.6640625" style="16" customWidth="1"/>
    <col min="10" max="10" width="21" style="1" customWidth="1"/>
    <col min="11" max="11" width="19.33203125" style="1" customWidth="1"/>
    <col min="12" max="12" width="10.83203125" style="1"/>
    <col min="13" max="13" width="10.83203125" style="2"/>
    <col min="14" max="16384" width="10.83203125" style="1"/>
  </cols>
  <sheetData>
    <row r="1" spans="1:16" ht="119" customHeight="1" x14ac:dyDescent="0.3">
      <c r="A1" s="19" t="s">
        <v>30</v>
      </c>
      <c r="B1" s="5"/>
      <c r="C1" s="22"/>
      <c r="D1" s="5"/>
      <c r="E1" s="5"/>
      <c r="F1" s="29"/>
      <c r="G1" s="29"/>
      <c r="H1" s="29"/>
      <c r="I1" s="29"/>
      <c r="J1" s="5"/>
      <c r="K1" s="5"/>
      <c r="L1" s="5"/>
      <c r="M1" s="56"/>
      <c r="N1" s="5"/>
      <c r="O1" s="5"/>
    </row>
    <row r="2" spans="1:16" ht="101" customHeight="1" x14ac:dyDescent="0.25">
      <c r="A2" s="73" t="s">
        <v>158</v>
      </c>
      <c r="B2" s="73"/>
      <c r="C2" s="73"/>
      <c r="D2" s="73"/>
      <c r="E2" s="73"/>
      <c r="F2" s="73"/>
      <c r="G2" s="73"/>
      <c r="H2" s="30"/>
      <c r="I2" s="30"/>
      <c r="J2" s="6"/>
      <c r="K2" s="6"/>
      <c r="L2" s="6"/>
      <c r="M2" s="57"/>
      <c r="N2" s="6"/>
      <c r="O2" s="6"/>
    </row>
    <row r="3" spans="1:16" x14ac:dyDescent="0.2">
      <c r="A3" s="3" t="s">
        <v>31</v>
      </c>
      <c r="B3" s="16">
        <f>Aloitus!D150+'Myynti ja voittotavoitteet'!C33</f>
        <v>0</v>
      </c>
    </row>
    <row r="4" spans="1:16" x14ac:dyDescent="0.2">
      <c r="A4" s="3" t="s">
        <v>32</v>
      </c>
      <c r="B4" s="24">
        <f>'Myynti ja voittotavoitteet'!D31</f>
        <v>0</v>
      </c>
    </row>
    <row r="5" spans="1:16" ht="34" x14ac:dyDescent="0.2">
      <c r="B5" s="17" t="s">
        <v>33</v>
      </c>
      <c r="C5" s="32" t="s">
        <v>34</v>
      </c>
      <c r="D5" s="33" t="s">
        <v>35</v>
      </c>
      <c r="E5" s="33" t="s">
        <v>36</v>
      </c>
      <c r="F5" s="31" t="s">
        <v>37</v>
      </c>
      <c r="G5" s="34" t="s">
        <v>38</v>
      </c>
      <c r="H5" s="51" t="s">
        <v>39</v>
      </c>
      <c r="I5" s="41" t="s">
        <v>40</v>
      </c>
      <c r="J5" s="1" t="s">
        <v>41</v>
      </c>
      <c r="K5" s="1" t="s">
        <v>42</v>
      </c>
    </row>
    <row r="6" spans="1:16" x14ac:dyDescent="0.2">
      <c r="A6" s="35" t="s">
        <v>43</v>
      </c>
      <c r="B6" s="36">
        <f>SUM(B7:B30)</f>
        <v>0</v>
      </c>
      <c r="C6" s="37" t="e">
        <f>SUM(C7:C30)</f>
        <v>#DIV/0!</v>
      </c>
      <c r="D6" s="38">
        <f>SUM(M10:M30)</f>
        <v>0</v>
      </c>
      <c r="E6" s="36">
        <f t="shared" ref="E6:J6" si="0">SUM(E7:E30)</f>
        <v>0</v>
      </c>
      <c r="F6" s="38" t="e">
        <f t="shared" si="0"/>
        <v>#DIV/0!</v>
      </c>
      <c r="G6" s="38"/>
      <c r="H6" s="38"/>
      <c r="I6" s="42"/>
      <c r="J6" s="38" t="e">
        <f t="shared" si="0"/>
        <v>#DIV/0!</v>
      </c>
      <c r="K6" s="38" t="e">
        <f>SUM(K7:K30)</f>
        <v>#DIV/0!</v>
      </c>
    </row>
    <row r="7" spans="1:16" x14ac:dyDescent="0.2">
      <c r="A7" s="3" t="str">
        <f>IF(OR(Aloitus!C5='Luettelojen sisällöt'!D4,Aloitus!C5='Luettelojen sisällöt'!D6,Aloitus!C5='Luettelojen sisällöt'!D7,Aloitus!C5='Luettelojen sisällöt'!D8),"Laskutettava tunti",0)</f>
        <v>Laskutettava tunti</v>
      </c>
      <c r="B7" s="24">
        <f>IF(A7&gt;0,'Myynti ja voittotavoitteet'!D6,0)</f>
        <v>0</v>
      </c>
      <c r="C7" s="23" t="e">
        <f>B7/$B$4</f>
        <v>#DIV/0!</v>
      </c>
      <c r="D7" s="16"/>
      <c r="E7" s="1">
        <f>IF(A7&gt;0,'Myynti ja voittotavoitteet'!C6,0)</f>
        <v>0</v>
      </c>
      <c r="F7" s="16" t="e">
        <f>IF(A7&gt;0,$B$3*C7,0)</f>
        <v>#DIV/0!</v>
      </c>
      <c r="G7" s="9" t="e">
        <f>IF(A7&gt;0,F7/E7,0)</f>
        <v>#DIV/0!</v>
      </c>
      <c r="H7" s="16" t="e">
        <f>IF($H$5='Luettelojen sisällöt'!$I$2,0,IF($H$5='Luettelojen sisällöt'!$I$3,G7*0.255,G7*0.14))</f>
        <v>#DIV/0!</v>
      </c>
      <c r="I7" s="43" t="e">
        <f>G7+H7</f>
        <v>#DIV/0!</v>
      </c>
      <c r="J7" s="1" t="e">
        <f>I7*E7</f>
        <v>#DIV/0!</v>
      </c>
      <c r="K7" s="9" t="e">
        <f>E7*G7</f>
        <v>#DIV/0!</v>
      </c>
    </row>
    <row r="8" spans="1:16" x14ac:dyDescent="0.2">
      <c r="B8" s="25"/>
      <c r="D8" s="16"/>
      <c r="I8" s="43"/>
      <c r="J8" s="16">
        <f t="shared" ref="J8:J31" si="1">I8*E8</f>
        <v>0</v>
      </c>
      <c r="K8" s="9"/>
    </row>
    <row r="9" spans="1:16" x14ac:dyDescent="0.2">
      <c r="A9" s="3" t="str">
        <f>IF(OR(Aloitus!$C$5='Luettelojen sisällöt'!D3,Aloitus!C5='Luettelojen sisällöt'!D7),"Palvelut",IF(Aloitus!C5='Luettelojen sisällöt'!D4,0,"Tuotteet"))</f>
        <v>Tuotteet</v>
      </c>
      <c r="B9" s="24"/>
      <c r="D9" s="16"/>
      <c r="I9" s="43"/>
      <c r="J9" s="16">
        <f t="shared" si="1"/>
        <v>0</v>
      </c>
      <c r="K9" s="9"/>
    </row>
    <row r="10" spans="1:16" x14ac:dyDescent="0.2">
      <c r="A10" s="1" cm="1">
        <f t="array" ref="A10:A19">IF(NOT(Aloitus!C5='Luettelojen sisällöt'!D4),Aloitus!C12:C21,0)</f>
        <v>0</v>
      </c>
      <c r="B10" s="28">
        <f>'Myynti ja voittotavoitteet'!D9</f>
        <v>0</v>
      </c>
      <c r="C10" s="23" t="e">
        <f>B10/$B$4</f>
        <v>#DIV/0!</v>
      </c>
      <c r="D10" s="16">
        <f>IF(A10&gt;0,IF(Aloitus!$C$25='Luettelojen sisällöt'!$G$3,Aloitus!D29,Aloitus!$C$27/COUNTA(Aloitus!$C$12:$C$21,Aloitus!$E$12:$E$21)),0)</f>
        <v>0</v>
      </c>
      <c r="E10" s="1">
        <f>'Myynti ja voittotavoitteet'!C9</f>
        <v>0</v>
      </c>
      <c r="F10" s="16" t="e">
        <f t="shared" ref="F10:F30" si="2">$B$3*C10</f>
        <v>#DIV/0!</v>
      </c>
      <c r="G10" s="16">
        <f>IF(E10&gt;0,(F10/E10)+D10,0)</f>
        <v>0</v>
      </c>
      <c r="H10" s="16">
        <f>IF($H$5='Luettelojen sisällöt'!$I$2,0,IF($H$5='Luettelojen sisällöt'!$I$3,G10*0.255,G10*0.14))</f>
        <v>0</v>
      </c>
      <c r="I10" s="43">
        <f t="shared" ref="I10:I30" si="3">G10+H10</f>
        <v>0</v>
      </c>
      <c r="J10" s="16">
        <f t="shared" si="1"/>
        <v>0</v>
      </c>
      <c r="K10" s="9">
        <f t="shared" ref="K10:K30" si="4">E10*G10</f>
        <v>0</v>
      </c>
      <c r="M10" s="58">
        <f>D10*E10</f>
        <v>0</v>
      </c>
    </row>
    <row r="11" spans="1:16" x14ac:dyDescent="0.2">
      <c r="A11" s="1">
        <v>0</v>
      </c>
      <c r="B11" s="28">
        <f>'Myynti ja voittotavoitteet'!D10</f>
        <v>0</v>
      </c>
      <c r="C11" s="23" t="e">
        <f t="shared" ref="C11:C19" si="5">B11/$B$4</f>
        <v>#DIV/0!</v>
      </c>
      <c r="D11" s="16">
        <f>IF(A11&gt;0,IF(Aloitus!$C$25='Luettelojen sisällöt'!$G$3,Aloitus!D30,Aloitus!$C$27/COUNTA(Aloitus!$C$12:$C$21,Aloitus!$E$12:$E$21)),0)</f>
        <v>0</v>
      </c>
      <c r="E11" s="1">
        <f>'Myynti ja voittotavoitteet'!C10</f>
        <v>0</v>
      </c>
      <c r="F11" s="16" t="e">
        <f t="shared" si="2"/>
        <v>#DIV/0!</v>
      </c>
      <c r="G11" s="16">
        <f>IF(E11&gt;0,(F11/E11)+D11,0)</f>
        <v>0</v>
      </c>
      <c r="H11" s="16">
        <f>IF($H$5='Luettelojen sisällöt'!$I$2,0,IF($H$5='Luettelojen sisällöt'!$I$3,G11*0.255,G11*0.14))</f>
        <v>0</v>
      </c>
      <c r="I11" s="43">
        <f t="shared" si="3"/>
        <v>0</v>
      </c>
      <c r="J11" s="16">
        <f t="shared" si="1"/>
        <v>0</v>
      </c>
      <c r="K11" s="9">
        <f t="shared" si="4"/>
        <v>0</v>
      </c>
      <c r="M11" s="58">
        <f t="shared" ref="M11:M30" si="6">D11*E11</f>
        <v>0</v>
      </c>
    </row>
    <row r="12" spans="1:16" x14ac:dyDescent="0.2">
      <c r="A12" s="1">
        <v>0</v>
      </c>
      <c r="B12" s="28">
        <f>'Myynti ja voittotavoitteet'!D11</f>
        <v>0</v>
      </c>
      <c r="C12" s="23" t="e">
        <f t="shared" si="5"/>
        <v>#DIV/0!</v>
      </c>
      <c r="D12" s="16">
        <f>IF(A12&gt;0,IF(Aloitus!$C$25='Luettelojen sisällöt'!$G$3,Aloitus!D31,Aloitus!$C$27/COUNTA(Aloitus!$C$12:$C$21,Aloitus!$E$12:$E$21)),0)</f>
        <v>0</v>
      </c>
      <c r="E12" s="1">
        <f>'Myynti ja voittotavoitteet'!C11</f>
        <v>0</v>
      </c>
      <c r="F12" s="16" t="e">
        <f t="shared" si="2"/>
        <v>#DIV/0!</v>
      </c>
      <c r="G12" s="16">
        <f t="shared" ref="G12:G30" si="7">IF(E12&gt;0,(F12/E12)+D12,0)</f>
        <v>0</v>
      </c>
      <c r="H12" s="16">
        <f>IF($H$5='Luettelojen sisällöt'!$I$2,0,IF($H$5='Luettelojen sisällöt'!$I$3,G12*0.255,G12*0.14))</f>
        <v>0</v>
      </c>
      <c r="I12" s="43">
        <f t="shared" si="3"/>
        <v>0</v>
      </c>
      <c r="J12" s="16">
        <f t="shared" si="1"/>
        <v>0</v>
      </c>
      <c r="K12" s="9">
        <f>E12*G12</f>
        <v>0</v>
      </c>
      <c r="M12" s="58">
        <f t="shared" si="6"/>
        <v>0</v>
      </c>
      <c r="O12" s="16"/>
      <c r="P12" s="16"/>
    </row>
    <row r="13" spans="1:16" x14ac:dyDescent="0.2">
      <c r="A13" s="1">
        <v>0</v>
      </c>
      <c r="B13" s="28">
        <f>'Myynti ja voittotavoitteet'!D12</f>
        <v>0</v>
      </c>
      <c r="C13" s="23" t="e">
        <f t="shared" si="5"/>
        <v>#DIV/0!</v>
      </c>
      <c r="D13" s="16">
        <f>IF(A13&gt;0,IF(Aloitus!$C$25='Luettelojen sisällöt'!$G$3,Aloitus!D32,Aloitus!$C$27/COUNTA(Aloitus!$C$12:$C$21,Aloitus!$E$12:$E$21)),0)</f>
        <v>0</v>
      </c>
      <c r="E13" s="1">
        <f>'Myynti ja voittotavoitteet'!C12</f>
        <v>0</v>
      </c>
      <c r="F13" s="16" t="e">
        <f t="shared" si="2"/>
        <v>#DIV/0!</v>
      </c>
      <c r="G13" s="16">
        <f t="shared" si="7"/>
        <v>0</v>
      </c>
      <c r="H13" s="16">
        <f>IF($H$5='Luettelojen sisällöt'!$I$2,0,IF($H$5='Luettelojen sisällöt'!$I$3,G13*0.255,G13*0.14))</f>
        <v>0</v>
      </c>
      <c r="I13" s="43">
        <f t="shared" si="3"/>
        <v>0</v>
      </c>
      <c r="J13" s="16">
        <f t="shared" si="1"/>
        <v>0</v>
      </c>
      <c r="K13" s="9">
        <f t="shared" si="4"/>
        <v>0</v>
      </c>
      <c r="M13" s="58">
        <f t="shared" si="6"/>
        <v>0</v>
      </c>
    </row>
    <row r="14" spans="1:16" x14ac:dyDescent="0.2">
      <c r="A14" s="1">
        <v>0</v>
      </c>
      <c r="B14" s="28">
        <f>'Myynti ja voittotavoitteet'!D13</f>
        <v>0</v>
      </c>
      <c r="C14" s="23" t="e">
        <f t="shared" si="5"/>
        <v>#DIV/0!</v>
      </c>
      <c r="D14" s="16">
        <f>IF(A14&gt;0,IF(Aloitus!$C$25='Luettelojen sisällöt'!$G$3,Aloitus!D33,Aloitus!$C$27/COUNTA(Aloitus!$C$12:$C$21,Aloitus!$E$12:$E$21)),0)</f>
        <v>0</v>
      </c>
      <c r="E14" s="1">
        <f>'Myynti ja voittotavoitteet'!C13</f>
        <v>0</v>
      </c>
      <c r="F14" s="16" t="e">
        <f t="shared" si="2"/>
        <v>#DIV/0!</v>
      </c>
      <c r="G14" s="16">
        <f t="shared" si="7"/>
        <v>0</v>
      </c>
      <c r="H14" s="16">
        <f>IF($H$5='Luettelojen sisällöt'!$I$2,0,IF($H$5='Luettelojen sisällöt'!$I$3,G14*0.255,G14*0.14))</f>
        <v>0</v>
      </c>
      <c r="I14" s="43">
        <f t="shared" si="3"/>
        <v>0</v>
      </c>
      <c r="J14" s="16">
        <f t="shared" si="1"/>
        <v>0</v>
      </c>
      <c r="K14" s="9">
        <f t="shared" si="4"/>
        <v>0</v>
      </c>
      <c r="M14" s="58">
        <f t="shared" si="6"/>
        <v>0</v>
      </c>
      <c r="P14" s="16"/>
    </row>
    <row r="15" spans="1:16" x14ac:dyDescent="0.2">
      <c r="A15" s="1">
        <v>0</v>
      </c>
      <c r="B15" s="28">
        <f>'Myynti ja voittotavoitteet'!D14</f>
        <v>0</v>
      </c>
      <c r="C15" s="23" t="e">
        <f t="shared" si="5"/>
        <v>#DIV/0!</v>
      </c>
      <c r="D15" s="16">
        <f>IF(A15&gt;0,IF(Aloitus!$C$25='Luettelojen sisällöt'!$G$3,Aloitus!D34,Aloitus!$C$27/COUNTA(Aloitus!$C$12:$C$21,Aloitus!$E$12:$E$21)),0)</f>
        <v>0</v>
      </c>
      <c r="E15" s="1">
        <f>'Myynti ja voittotavoitteet'!C14</f>
        <v>0</v>
      </c>
      <c r="F15" s="16" t="e">
        <f t="shared" si="2"/>
        <v>#DIV/0!</v>
      </c>
      <c r="G15" s="16">
        <f t="shared" si="7"/>
        <v>0</v>
      </c>
      <c r="H15" s="16">
        <f>IF($H$5='Luettelojen sisällöt'!$I$2,0,IF($H$5='Luettelojen sisällöt'!$I$3,G15*0.255,G15*0.14))</f>
        <v>0</v>
      </c>
      <c r="I15" s="40">
        <f t="shared" si="3"/>
        <v>0</v>
      </c>
      <c r="J15" s="16">
        <f t="shared" si="1"/>
        <v>0</v>
      </c>
      <c r="K15" s="9">
        <f t="shared" si="4"/>
        <v>0</v>
      </c>
      <c r="M15" s="58">
        <f t="shared" si="6"/>
        <v>0</v>
      </c>
      <c r="P15" s="16"/>
    </row>
    <row r="16" spans="1:16" x14ac:dyDescent="0.2">
      <c r="A16" s="1">
        <v>0</v>
      </c>
      <c r="B16" s="28">
        <f>'Myynti ja voittotavoitteet'!D15</f>
        <v>0</v>
      </c>
      <c r="C16" s="23" t="e">
        <f t="shared" si="5"/>
        <v>#DIV/0!</v>
      </c>
      <c r="D16" s="16">
        <f>IF(A16&gt;0,IF(Aloitus!$C$25='Luettelojen sisällöt'!$G$3,Aloitus!D35,Aloitus!$C$27/COUNTA(Aloitus!$C$12:$C$21,Aloitus!$E$12:$E$21)),0)</f>
        <v>0</v>
      </c>
      <c r="E16" s="1">
        <f>'Myynti ja voittotavoitteet'!C15</f>
        <v>0</v>
      </c>
      <c r="F16" s="16" t="e">
        <f t="shared" si="2"/>
        <v>#DIV/0!</v>
      </c>
      <c r="G16" s="16">
        <f t="shared" si="7"/>
        <v>0</v>
      </c>
      <c r="H16" s="16">
        <f>IF($H$5='Luettelojen sisällöt'!$I$2,0,IF($H$5='Luettelojen sisällöt'!$I$3,G16*0.255,G16*0.14))</f>
        <v>0</v>
      </c>
      <c r="I16" s="40">
        <f t="shared" si="3"/>
        <v>0</v>
      </c>
      <c r="J16" s="16">
        <f t="shared" si="1"/>
        <v>0</v>
      </c>
      <c r="K16" s="9">
        <f t="shared" si="4"/>
        <v>0</v>
      </c>
      <c r="M16" s="58">
        <f t="shared" si="6"/>
        <v>0</v>
      </c>
      <c r="P16" s="16"/>
    </row>
    <row r="17" spans="1:16" x14ac:dyDescent="0.2">
      <c r="A17" s="1">
        <v>0</v>
      </c>
      <c r="B17" s="28">
        <f>'Myynti ja voittotavoitteet'!D16</f>
        <v>0</v>
      </c>
      <c r="C17" s="23" t="e">
        <f t="shared" si="5"/>
        <v>#DIV/0!</v>
      </c>
      <c r="D17" s="16">
        <f>IF(A17&gt;0,IF(Aloitus!$C$25='Luettelojen sisällöt'!$G$3,Aloitus!D36,Aloitus!$C$27/COUNTA(Aloitus!$C$12:$C$21,Aloitus!$E$12:$E$21)),0)</f>
        <v>0</v>
      </c>
      <c r="E17" s="1">
        <f>'Myynti ja voittotavoitteet'!C16</f>
        <v>0</v>
      </c>
      <c r="F17" s="16" t="e">
        <f t="shared" si="2"/>
        <v>#DIV/0!</v>
      </c>
      <c r="G17" s="16">
        <f t="shared" si="7"/>
        <v>0</v>
      </c>
      <c r="H17" s="16">
        <f>IF($H$5='Luettelojen sisällöt'!$I$2,0,IF($H$5='Luettelojen sisällöt'!$I$3,G17*0.255,G17*0.14))</f>
        <v>0</v>
      </c>
      <c r="I17" s="40">
        <f t="shared" si="3"/>
        <v>0</v>
      </c>
      <c r="J17" s="16">
        <f t="shared" si="1"/>
        <v>0</v>
      </c>
      <c r="K17" s="9">
        <f t="shared" si="4"/>
        <v>0</v>
      </c>
      <c r="M17" s="58">
        <f t="shared" si="6"/>
        <v>0</v>
      </c>
      <c r="P17" s="16"/>
    </row>
    <row r="18" spans="1:16" x14ac:dyDescent="0.2">
      <c r="A18" s="1">
        <v>0</v>
      </c>
      <c r="B18" s="28">
        <f>'Myynti ja voittotavoitteet'!D17</f>
        <v>0</v>
      </c>
      <c r="C18" s="23" t="e">
        <f t="shared" si="5"/>
        <v>#DIV/0!</v>
      </c>
      <c r="D18" s="16">
        <f>IF(A18&gt;0,IF(Aloitus!$C$25='Luettelojen sisällöt'!$G$3,Aloitus!D37,Aloitus!$C$27/COUNTA(Aloitus!$C$12:$C$21,Aloitus!$E$12:$E$21)),0)</f>
        <v>0</v>
      </c>
      <c r="E18" s="1">
        <f>'Myynti ja voittotavoitteet'!C17</f>
        <v>0</v>
      </c>
      <c r="F18" s="16" t="e">
        <f t="shared" si="2"/>
        <v>#DIV/0!</v>
      </c>
      <c r="G18" s="16">
        <f t="shared" si="7"/>
        <v>0</v>
      </c>
      <c r="H18" s="16">
        <f>IF($H$5='Luettelojen sisällöt'!$I$2,0,IF($H$5='Luettelojen sisällöt'!$I$3,G18*0.255,G18*0.14))</f>
        <v>0</v>
      </c>
      <c r="I18" s="40">
        <f t="shared" si="3"/>
        <v>0</v>
      </c>
      <c r="J18" s="16">
        <f t="shared" si="1"/>
        <v>0</v>
      </c>
      <c r="K18" s="9">
        <f t="shared" si="4"/>
        <v>0</v>
      </c>
      <c r="M18" s="58">
        <f t="shared" si="6"/>
        <v>0</v>
      </c>
    </row>
    <row r="19" spans="1:16" x14ac:dyDescent="0.2">
      <c r="A19" s="1">
        <v>0</v>
      </c>
      <c r="B19" s="28">
        <f>'Myynti ja voittotavoitteet'!D18</f>
        <v>0</v>
      </c>
      <c r="C19" s="23" t="e">
        <f t="shared" si="5"/>
        <v>#DIV/0!</v>
      </c>
      <c r="D19" s="16">
        <f>IF(A19&gt;0,IF(Aloitus!$C$25='Luettelojen sisällöt'!$G$3,Aloitus!D38,Aloitus!$C$27/COUNTA(Aloitus!$C$12:$C$21,Aloitus!$E$12:$E$21)),0)</f>
        <v>0</v>
      </c>
      <c r="E19" s="1">
        <f>'Myynti ja voittotavoitteet'!C18</f>
        <v>0</v>
      </c>
      <c r="F19" s="16" t="e">
        <f t="shared" si="2"/>
        <v>#DIV/0!</v>
      </c>
      <c r="G19" s="16">
        <f t="shared" si="7"/>
        <v>0</v>
      </c>
      <c r="H19" s="16">
        <f>IF($H$5='Luettelojen sisällöt'!$I$2,0,IF($H$5='Luettelojen sisällöt'!$I$3,G19*0.255,G19*0.14))</f>
        <v>0</v>
      </c>
      <c r="I19" s="40">
        <f t="shared" si="3"/>
        <v>0</v>
      </c>
      <c r="J19" s="16">
        <f t="shared" si="1"/>
        <v>0</v>
      </c>
      <c r="K19" s="9">
        <f t="shared" si="4"/>
        <v>0</v>
      </c>
      <c r="M19" s="58">
        <f t="shared" si="6"/>
        <v>0</v>
      </c>
    </row>
    <row r="20" spans="1:16" x14ac:dyDescent="0.2">
      <c r="A20" s="3" t="str">
        <f>IF(OR(Aloitus!$C$5='Luettelojen sisällöt'!$D$5,Aloitus!$C$5='Luettelojen sisällöt'!$D$8),"Palvelut",0)</f>
        <v>Palvelut</v>
      </c>
      <c r="B20" s="24"/>
      <c r="D20" s="16"/>
      <c r="I20" s="40"/>
      <c r="J20" s="16">
        <f t="shared" si="1"/>
        <v>0</v>
      </c>
      <c r="K20" s="9"/>
      <c r="M20" s="58">
        <f t="shared" si="6"/>
        <v>0</v>
      </c>
    </row>
    <row r="21" spans="1:16" x14ac:dyDescent="0.2">
      <c r="A21" s="1" cm="1">
        <f t="array" ref="A21:A30">IF(A20&gt;0,Aloitus!E12:E21,0)</f>
        <v>0</v>
      </c>
      <c r="B21" s="24">
        <f>'Myynti ja voittotavoitteet'!D21</f>
        <v>0</v>
      </c>
      <c r="C21" s="23" t="e">
        <f>B21/$B$4</f>
        <v>#DIV/0!</v>
      </c>
      <c r="D21" s="16">
        <f>IF(A21&gt;0,IF(Aloitus!$C$25='Luettelojen sisällöt'!$G$3,Aloitus!F29,Aloitus!$C$27/COUNTA(Aloitus!$C$12:$C$21,Aloitus!$E$12:$E$21)),0)</f>
        <v>0</v>
      </c>
      <c r="E21" s="1">
        <f>'Myynti ja voittotavoitteet'!C21</f>
        <v>0</v>
      </c>
      <c r="F21" s="16" t="e">
        <f t="shared" si="2"/>
        <v>#DIV/0!</v>
      </c>
      <c r="G21" s="16">
        <f t="shared" si="7"/>
        <v>0</v>
      </c>
      <c r="H21" s="16">
        <f>IF($H$5='Luettelojen sisällöt'!$I$2,0,IF($H$5='Luettelojen sisällöt'!$I$3,G21*0.255,G21*0.14))</f>
        <v>0</v>
      </c>
      <c r="I21" s="40">
        <f t="shared" si="3"/>
        <v>0</v>
      </c>
      <c r="J21" s="16">
        <f t="shared" si="1"/>
        <v>0</v>
      </c>
      <c r="K21" s="9">
        <f t="shared" si="4"/>
        <v>0</v>
      </c>
      <c r="M21" s="58">
        <f t="shared" si="6"/>
        <v>0</v>
      </c>
    </row>
    <row r="22" spans="1:16" x14ac:dyDescent="0.2">
      <c r="A22" s="1">
        <v>0</v>
      </c>
      <c r="B22" s="24">
        <f>'Myynti ja voittotavoitteet'!D22</f>
        <v>0</v>
      </c>
      <c r="C22" s="23" t="e">
        <f t="shared" ref="C22:C30" si="8">B22/$B$4</f>
        <v>#DIV/0!</v>
      </c>
      <c r="D22" s="16">
        <f>IF(A22&gt;0,IF(Aloitus!$C$25='Luettelojen sisällöt'!$G$3,Aloitus!F30,Aloitus!$C$27/COUNTA(Aloitus!$C$12:$C$21,Aloitus!$E$12:$E$21)),0)</f>
        <v>0</v>
      </c>
      <c r="E22" s="1">
        <f>'Myynti ja voittotavoitteet'!C22</f>
        <v>0</v>
      </c>
      <c r="F22" s="16" t="e">
        <f t="shared" si="2"/>
        <v>#DIV/0!</v>
      </c>
      <c r="G22" s="16">
        <f t="shared" si="7"/>
        <v>0</v>
      </c>
      <c r="H22" s="16">
        <f>IF($H$5='Luettelojen sisällöt'!$I$2,0,IF($H$5='Luettelojen sisällöt'!$I$3,G22*0.255,G22*0.14))</f>
        <v>0</v>
      </c>
      <c r="I22" s="40">
        <f t="shared" si="3"/>
        <v>0</v>
      </c>
      <c r="J22" s="16">
        <f t="shared" si="1"/>
        <v>0</v>
      </c>
      <c r="K22" s="9">
        <f t="shared" si="4"/>
        <v>0</v>
      </c>
      <c r="M22" s="58">
        <f t="shared" si="6"/>
        <v>0</v>
      </c>
    </row>
    <row r="23" spans="1:16" x14ac:dyDescent="0.2">
      <c r="A23" s="1">
        <v>0</v>
      </c>
      <c r="B23" s="24">
        <f>'Myynti ja voittotavoitteet'!D23</f>
        <v>0</v>
      </c>
      <c r="C23" s="23" t="e">
        <f t="shared" si="8"/>
        <v>#DIV/0!</v>
      </c>
      <c r="D23" s="16">
        <f>IF(A23&gt;0,IF(Aloitus!$C$25='Luettelojen sisällöt'!$G$3,Aloitus!F31,Aloitus!$C$27/COUNTA(Aloitus!$C$12:$C$21,Aloitus!$E$12:$E$21)),0)</f>
        <v>0</v>
      </c>
      <c r="E23" s="1">
        <f>'Myynti ja voittotavoitteet'!C23</f>
        <v>0</v>
      </c>
      <c r="F23" s="16" t="e">
        <f t="shared" si="2"/>
        <v>#DIV/0!</v>
      </c>
      <c r="G23" s="16">
        <f t="shared" si="7"/>
        <v>0</v>
      </c>
      <c r="H23" s="16">
        <f>IF($H$5='Luettelojen sisällöt'!$I$2,0,IF($H$5='Luettelojen sisällöt'!$I$3,G23*0.255,G23*0.14))</f>
        <v>0</v>
      </c>
      <c r="I23" s="40">
        <f t="shared" si="3"/>
        <v>0</v>
      </c>
      <c r="J23" s="16">
        <f t="shared" si="1"/>
        <v>0</v>
      </c>
      <c r="K23" s="9">
        <f t="shared" si="4"/>
        <v>0</v>
      </c>
      <c r="M23" s="58">
        <f t="shared" si="6"/>
        <v>0</v>
      </c>
    </row>
    <row r="24" spans="1:16" x14ac:dyDescent="0.2">
      <c r="A24" s="1">
        <v>0</v>
      </c>
      <c r="B24" s="24">
        <f>'Myynti ja voittotavoitteet'!D24</f>
        <v>0</v>
      </c>
      <c r="C24" s="23" t="e">
        <f t="shared" si="8"/>
        <v>#DIV/0!</v>
      </c>
      <c r="D24" s="16">
        <f>IF(A24&gt;0,IF(Aloitus!$C$25='Luettelojen sisällöt'!$G$3,Aloitus!F32,Aloitus!$C$27/COUNTA(Aloitus!$C$12:$C$21,Aloitus!$E$12:$E$21)),0)</f>
        <v>0</v>
      </c>
      <c r="E24" s="1">
        <f>'Myynti ja voittotavoitteet'!C24</f>
        <v>0</v>
      </c>
      <c r="F24" s="16" t="e">
        <f t="shared" si="2"/>
        <v>#DIV/0!</v>
      </c>
      <c r="G24" s="16">
        <f t="shared" si="7"/>
        <v>0</v>
      </c>
      <c r="H24" s="16">
        <f>IF($H$5='Luettelojen sisällöt'!$I$2,0,IF($H$5='Luettelojen sisällöt'!$I$3,G24*0.255,G24*0.14))</f>
        <v>0</v>
      </c>
      <c r="I24" s="40">
        <f t="shared" si="3"/>
        <v>0</v>
      </c>
      <c r="J24" s="16">
        <f t="shared" si="1"/>
        <v>0</v>
      </c>
      <c r="K24" s="9">
        <f t="shared" si="4"/>
        <v>0</v>
      </c>
      <c r="M24" s="58">
        <f t="shared" si="6"/>
        <v>0</v>
      </c>
    </row>
    <row r="25" spans="1:16" x14ac:dyDescent="0.2">
      <c r="A25" s="1">
        <v>0</v>
      </c>
      <c r="B25" s="24">
        <f>'Myynti ja voittotavoitteet'!D25</f>
        <v>0</v>
      </c>
      <c r="C25" s="23" t="e">
        <f t="shared" si="8"/>
        <v>#DIV/0!</v>
      </c>
      <c r="D25" s="16">
        <f>IF(A25&gt;0,IF(Aloitus!$C$25='Luettelojen sisällöt'!$G$3,Aloitus!F33,Aloitus!$C$27/COUNTA(Aloitus!$C$12:$C$21,Aloitus!$E$12:$E$21)),0)</f>
        <v>0</v>
      </c>
      <c r="E25" s="1">
        <f>'Myynti ja voittotavoitteet'!C25</f>
        <v>0</v>
      </c>
      <c r="F25" s="16" t="e">
        <f t="shared" si="2"/>
        <v>#DIV/0!</v>
      </c>
      <c r="G25" s="16">
        <f t="shared" si="7"/>
        <v>0</v>
      </c>
      <c r="H25" s="16">
        <f>IF($H$5='Luettelojen sisällöt'!$I$2,0,IF($H$5='Luettelojen sisällöt'!$I$3,G25*0.255,G25*0.14))</f>
        <v>0</v>
      </c>
      <c r="I25" s="40">
        <f t="shared" si="3"/>
        <v>0</v>
      </c>
      <c r="J25" s="16">
        <f t="shared" si="1"/>
        <v>0</v>
      </c>
      <c r="K25" s="9">
        <f t="shared" si="4"/>
        <v>0</v>
      </c>
      <c r="M25" s="58">
        <f t="shared" si="6"/>
        <v>0</v>
      </c>
    </row>
    <row r="26" spans="1:16" x14ac:dyDescent="0.2">
      <c r="A26" s="1">
        <v>0</v>
      </c>
      <c r="B26" s="24">
        <f>'Myynti ja voittotavoitteet'!D26</f>
        <v>0</v>
      </c>
      <c r="C26" s="23" t="e">
        <f t="shared" si="8"/>
        <v>#DIV/0!</v>
      </c>
      <c r="D26" s="16">
        <f>IF(A26&gt;0,IF(Aloitus!$C$25='Luettelojen sisällöt'!$G$3,Aloitus!F34,Aloitus!$C$27/COUNTA(Aloitus!$C$12:$C$21,Aloitus!$E$12:$E$21)),0)</f>
        <v>0</v>
      </c>
      <c r="E26" s="1">
        <f>'Myynti ja voittotavoitteet'!C26</f>
        <v>0</v>
      </c>
      <c r="F26" s="16" t="e">
        <f t="shared" si="2"/>
        <v>#DIV/0!</v>
      </c>
      <c r="G26" s="16">
        <f t="shared" si="7"/>
        <v>0</v>
      </c>
      <c r="H26" s="16">
        <f>IF($H$5='Luettelojen sisällöt'!$I$2,0,IF($H$5='Luettelojen sisällöt'!$I$3,G26*0.255,G26*0.14))</f>
        <v>0</v>
      </c>
      <c r="I26" s="40">
        <f t="shared" si="3"/>
        <v>0</v>
      </c>
      <c r="J26" s="16">
        <f t="shared" si="1"/>
        <v>0</v>
      </c>
      <c r="K26" s="9">
        <f t="shared" si="4"/>
        <v>0</v>
      </c>
      <c r="M26" s="58">
        <f t="shared" si="6"/>
        <v>0</v>
      </c>
    </row>
    <row r="27" spans="1:16" x14ac:dyDescent="0.2">
      <c r="A27" s="1">
        <v>0</v>
      </c>
      <c r="B27" s="24">
        <f>'Myynti ja voittotavoitteet'!D27</f>
        <v>0</v>
      </c>
      <c r="C27" s="23" t="e">
        <f t="shared" si="8"/>
        <v>#DIV/0!</v>
      </c>
      <c r="D27" s="16">
        <f>IF(A27&gt;0,IF(Aloitus!$C$25='Luettelojen sisällöt'!$G$3,Aloitus!F35,Aloitus!$C$27/COUNTA(Aloitus!$C$12:$C$21,Aloitus!$E$12:$E$21)),0)</f>
        <v>0</v>
      </c>
      <c r="E27" s="1">
        <f>'Myynti ja voittotavoitteet'!C27</f>
        <v>0</v>
      </c>
      <c r="F27" s="16" t="e">
        <f t="shared" si="2"/>
        <v>#DIV/0!</v>
      </c>
      <c r="G27" s="16">
        <f t="shared" si="7"/>
        <v>0</v>
      </c>
      <c r="H27" s="16">
        <f>IF($H$5='Luettelojen sisällöt'!$I$2,0,IF($H$5='Luettelojen sisällöt'!$I$3,G27*0.255,G27*0.14))</f>
        <v>0</v>
      </c>
      <c r="I27" s="40">
        <f t="shared" si="3"/>
        <v>0</v>
      </c>
      <c r="J27" s="16">
        <f t="shared" si="1"/>
        <v>0</v>
      </c>
      <c r="K27" s="9">
        <f t="shared" si="4"/>
        <v>0</v>
      </c>
      <c r="M27" s="58">
        <f t="shared" si="6"/>
        <v>0</v>
      </c>
    </row>
    <row r="28" spans="1:16" x14ac:dyDescent="0.2">
      <c r="A28" s="1">
        <v>0</v>
      </c>
      <c r="B28" s="24">
        <f>'Myynti ja voittotavoitteet'!D28</f>
        <v>0</v>
      </c>
      <c r="C28" s="23" t="e">
        <f t="shared" si="8"/>
        <v>#DIV/0!</v>
      </c>
      <c r="D28" s="16">
        <f>IF(A28&gt;0,IF(Aloitus!$C$25='Luettelojen sisällöt'!$G$3,Aloitus!F36,Aloitus!$C$27/COUNTA(Aloitus!$C$12:$C$21,Aloitus!$E$12:$E$21)),0)</f>
        <v>0</v>
      </c>
      <c r="E28" s="1">
        <f>'Myynti ja voittotavoitteet'!C28</f>
        <v>0</v>
      </c>
      <c r="F28" s="16" t="e">
        <f t="shared" si="2"/>
        <v>#DIV/0!</v>
      </c>
      <c r="G28" s="16">
        <f t="shared" si="7"/>
        <v>0</v>
      </c>
      <c r="H28" s="16">
        <f>IF($H$5='Luettelojen sisällöt'!$I$2,0,IF($H$5='Luettelojen sisällöt'!$I$3,G28*0.255,G28*0.14))</f>
        <v>0</v>
      </c>
      <c r="I28" s="40">
        <f t="shared" si="3"/>
        <v>0</v>
      </c>
      <c r="J28" s="16">
        <f t="shared" si="1"/>
        <v>0</v>
      </c>
      <c r="K28" s="9">
        <f t="shared" si="4"/>
        <v>0</v>
      </c>
      <c r="M28" s="58">
        <f t="shared" si="6"/>
        <v>0</v>
      </c>
    </row>
    <row r="29" spans="1:16" x14ac:dyDescent="0.2">
      <c r="A29" s="1">
        <v>0</v>
      </c>
      <c r="B29" s="24">
        <f>'Myynti ja voittotavoitteet'!D29</f>
        <v>0</v>
      </c>
      <c r="C29" s="23" t="e">
        <f t="shared" si="8"/>
        <v>#DIV/0!</v>
      </c>
      <c r="D29" s="16">
        <f>IF(A29&gt;0,IF(Aloitus!$C$25='Luettelojen sisällöt'!$G$3,Aloitus!F37,Aloitus!$C$27/COUNTA(Aloitus!$C$12:$C$21,Aloitus!$E$12:$E$21)),0)</f>
        <v>0</v>
      </c>
      <c r="E29" s="1">
        <f>'Myynti ja voittotavoitteet'!C29</f>
        <v>0</v>
      </c>
      <c r="F29" s="16" t="e">
        <f t="shared" si="2"/>
        <v>#DIV/0!</v>
      </c>
      <c r="G29" s="16">
        <f t="shared" si="7"/>
        <v>0</v>
      </c>
      <c r="H29" s="16">
        <f>IF($H$5='Luettelojen sisällöt'!$I$2,0,IF($H$5='Luettelojen sisällöt'!$I$3,G29*0.255,G29*0.14))</f>
        <v>0</v>
      </c>
      <c r="I29" s="40">
        <f t="shared" si="3"/>
        <v>0</v>
      </c>
      <c r="J29" s="16">
        <f t="shared" si="1"/>
        <v>0</v>
      </c>
      <c r="K29" s="9">
        <f t="shared" si="4"/>
        <v>0</v>
      </c>
      <c r="M29" s="58">
        <f t="shared" si="6"/>
        <v>0</v>
      </c>
    </row>
    <row r="30" spans="1:16" x14ac:dyDescent="0.2">
      <c r="A30" s="1">
        <v>0</v>
      </c>
      <c r="B30" s="24">
        <f>'Myynti ja voittotavoitteet'!D30</f>
        <v>0</v>
      </c>
      <c r="C30" s="23" t="e">
        <f t="shared" si="8"/>
        <v>#DIV/0!</v>
      </c>
      <c r="D30" s="16">
        <f>IF(A30&gt;0,IF(Aloitus!$C$25='Luettelojen sisällöt'!$G$3,Aloitus!F38,Aloitus!$C$27/COUNTA(Aloitus!$C$12:$C$21,Aloitus!$E$12:$E$21)),0)</f>
        <v>0</v>
      </c>
      <c r="E30" s="1">
        <f>'Myynti ja voittotavoitteet'!C30</f>
        <v>0</v>
      </c>
      <c r="F30" s="16" t="e">
        <f t="shared" si="2"/>
        <v>#DIV/0!</v>
      </c>
      <c r="G30" s="16">
        <f t="shared" si="7"/>
        <v>0</v>
      </c>
      <c r="H30" s="16">
        <f>IF($H$5='Luettelojen sisällöt'!$I$2,0,IF($H$5='Luettelojen sisällöt'!$I$3,G30*0.255,G30*0.14))</f>
        <v>0</v>
      </c>
      <c r="I30" s="40">
        <f t="shared" si="3"/>
        <v>0</v>
      </c>
      <c r="J30" s="16">
        <f t="shared" si="1"/>
        <v>0</v>
      </c>
      <c r="K30" s="9">
        <f t="shared" si="4"/>
        <v>0</v>
      </c>
      <c r="M30" s="58">
        <f t="shared" si="6"/>
        <v>0</v>
      </c>
    </row>
    <row r="31" spans="1:16" x14ac:dyDescent="0.2">
      <c r="B31" s="24"/>
      <c r="D31" s="16"/>
      <c r="I31" s="54"/>
      <c r="J31" s="16">
        <f t="shared" si="1"/>
        <v>0</v>
      </c>
      <c r="K31" s="9"/>
    </row>
    <row r="32" spans="1:16" x14ac:dyDescent="0.2">
      <c r="B32" s="24"/>
      <c r="D32" s="16"/>
      <c r="K32" s="9"/>
    </row>
    <row r="33" spans="1:15" x14ac:dyDescent="0.2">
      <c r="B33" s="24"/>
      <c r="D33" s="16"/>
      <c r="K33" s="9"/>
    </row>
    <row r="34" spans="1:15" x14ac:dyDescent="0.2">
      <c r="A34" s="75" t="s">
        <v>157</v>
      </c>
      <c r="B34" s="75"/>
      <c r="C34" s="75"/>
      <c r="D34" s="75"/>
      <c r="E34" s="75"/>
      <c r="F34" s="75"/>
      <c r="G34" s="75"/>
      <c r="H34" s="29"/>
      <c r="I34" s="29"/>
      <c r="J34" s="5"/>
      <c r="K34" s="59"/>
      <c r="L34" s="5"/>
      <c r="M34" s="56"/>
      <c r="N34" s="5"/>
      <c r="O34" s="5"/>
    </row>
    <row r="35" spans="1:15" x14ac:dyDescent="0.2">
      <c r="A35" s="75"/>
      <c r="B35" s="75"/>
      <c r="C35" s="75"/>
      <c r="D35" s="75"/>
      <c r="E35" s="75"/>
      <c r="F35" s="75"/>
      <c r="G35" s="75"/>
      <c r="H35" s="29"/>
      <c r="I35" s="29"/>
      <c r="J35" s="5"/>
      <c r="K35" s="59"/>
      <c r="L35" s="5"/>
      <c r="M35" s="56"/>
      <c r="N35" s="5"/>
      <c r="O35" s="5"/>
    </row>
    <row r="36" spans="1:15" ht="45" customHeight="1" x14ac:dyDescent="0.2">
      <c r="A36" s="75"/>
      <c r="B36" s="75"/>
      <c r="C36" s="75"/>
      <c r="D36" s="75"/>
      <c r="E36" s="75"/>
      <c r="F36" s="75"/>
      <c r="G36" s="75"/>
      <c r="H36" s="29"/>
      <c r="I36" s="29"/>
      <c r="J36" s="5"/>
      <c r="K36" s="59"/>
      <c r="L36" s="5"/>
      <c r="M36" s="56"/>
      <c r="N36" s="5"/>
      <c r="O36" s="5"/>
    </row>
    <row r="37" spans="1:15" x14ac:dyDescent="0.2">
      <c r="B37" s="24"/>
      <c r="D37" s="16"/>
    </row>
    <row r="38" spans="1:15" x14ac:dyDescent="0.2">
      <c r="B38" s="24"/>
      <c r="D38" s="16"/>
    </row>
    <row r="39" spans="1:15" x14ac:dyDescent="0.2">
      <c r="B39" s="24"/>
    </row>
  </sheetData>
  <sheetProtection algorithmName="SHA-512" hashValue="1B9poX6TX9vMy/QZjcUQFa2zetWXJcJGv/37QHVO2MoZ4WaY8SBITVikr0jPFXTxuRp3abbUYqbmomkT6+gMUQ==" saltValue="9sKWPOd786mvtELRHDmVyw==" spinCount="100000" sheet="1" selectLockedCells="1"/>
  <mergeCells count="2">
    <mergeCell ref="A34:G36"/>
    <mergeCell ref="A2:G2"/>
  </mergeCells>
  <conditionalFormatting sqref="A1:A2 H2:XFD2 A3:XFD33 A34 H34:XFD36 A37:XFD1048576">
    <cfRule type="cellIs" dxfId="3" priority="1" operator="equal">
      <formula>0</formula>
    </cfRule>
  </conditionalFormatting>
  <conditionalFormatting sqref="A10:J10 A12:J12 A14:J14 A16:J16 A18:J18">
    <cfRule type="expression" dxfId="2" priority="3">
      <formula>$B10&gt;0</formula>
    </cfRule>
  </conditionalFormatting>
  <conditionalFormatting sqref="A21:J21 A23:J23 A25:J25 A27:J27 A29:J29">
    <cfRule type="expression" dxfId="1" priority="4">
      <formula>$B21&gt;0</formula>
    </cfRule>
  </conditionalFormatting>
  <conditionalFormatting sqref="C1:XFD1">
    <cfRule type="cellIs" dxfId="0" priority="5" operator="equal">
      <formula>0</formula>
    </cfRule>
  </conditionalFormatting>
  <pageMargins left="0.7" right="0.7" top="0.75" bottom="0.75" header="0.3" footer="0.3"/>
  <ignoredErrors>
    <ignoredError sqref="D6" formula="1"/>
  </ignoredErrors>
  <drawing r:id="rId1"/>
  <extLst>
    <ext xmlns:x14="http://schemas.microsoft.com/office/spreadsheetml/2009/9/main" uri="{CCE6A557-97BC-4b89-ADB6-D9C93CAAB3DF}">
      <x14:dataValidations xmlns:xm="http://schemas.microsoft.com/office/excel/2006/main" count="1">
        <x14:dataValidation type="list" allowBlank="1" showInputMessage="1" showErrorMessage="1" xr:uid="{BE1DA39D-D101-F244-9846-AF7EE5CB8DD5}">
          <x14:formula1>
            <xm:f>'Luettelojen sisällöt'!$I$2:$I$4</xm:f>
          </x14:formula1>
          <xm:sqref>H5</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C0CF062-EC50-0D49-8DE2-9D4D89D925D9}">
  <dimension ref="A1:M102"/>
  <sheetViews>
    <sheetView topLeftCell="A14" zoomScale="125" workbookViewId="0">
      <selection activeCell="B34" sqref="B34"/>
    </sheetView>
  </sheetViews>
  <sheetFormatPr baseColWidth="10" defaultColWidth="10.83203125" defaultRowHeight="16" x14ac:dyDescent="0.2"/>
  <cols>
    <col min="1" max="16384" width="10.83203125" style="1"/>
  </cols>
  <sheetData>
    <row r="1" spans="1:13" x14ac:dyDescent="0.2">
      <c r="A1" s="3" t="s">
        <v>128</v>
      </c>
      <c r="F1" s="3"/>
    </row>
    <row r="2" spans="1:13" x14ac:dyDescent="0.2">
      <c r="B2" s="1" t="s">
        <v>50</v>
      </c>
      <c r="M2" s="3"/>
    </row>
    <row r="3" spans="1:13" x14ac:dyDescent="0.2">
      <c r="B3" s="1" t="s">
        <v>129</v>
      </c>
    </row>
    <row r="4" spans="1:13" x14ac:dyDescent="0.2">
      <c r="B4" s="1" t="s">
        <v>52</v>
      </c>
    </row>
    <row r="5" spans="1:13" x14ac:dyDescent="0.2">
      <c r="B5" s="1" t="s">
        <v>51</v>
      </c>
    </row>
    <row r="6" spans="1:13" x14ac:dyDescent="0.2">
      <c r="B6" s="1" t="s">
        <v>70</v>
      </c>
    </row>
    <row r="7" spans="1:13" x14ac:dyDescent="0.2">
      <c r="B7" s="1" t="s">
        <v>130</v>
      </c>
    </row>
    <row r="8" spans="1:13" x14ac:dyDescent="0.2">
      <c r="B8" s="1" t="s">
        <v>131</v>
      </c>
    </row>
    <row r="9" spans="1:13" x14ac:dyDescent="0.2">
      <c r="B9" s="1" t="s">
        <v>45</v>
      </c>
    </row>
    <row r="10" spans="1:13" x14ac:dyDescent="0.2">
      <c r="B10" s="1" t="s">
        <v>132</v>
      </c>
    </row>
    <row r="11" spans="1:13" x14ac:dyDescent="0.2">
      <c r="A11" s="3" t="s">
        <v>133</v>
      </c>
      <c r="F11" s="3"/>
    </row>
    <row r="12" spans="1:13" x14ac:dyDescent="0.2">
      <c r="B12" s="1" t="s">
        <v>61</v>
      </c>
    </row>
    <row r="13" spans="1:13" x14ac:dyDescent="0.2">
      <c r="B13" s="1" t="s">
        <v>134</v>
      </c>
    </row>
    <row r="14" spans="1:13" x14ac:dyDescent="0.2">
      <c r="B14" s="1" t="s">
        <v>95</v>
      </c>
    </row>
    <row r="15" spans="1:13" x14ac:dyDescent="0.2">
      <c r="B15" s="1" t="s">
        <v>135</v>
      </c>
    </row>
    <row r="16" spans="1:13" x14ac:dyDescent="0.2">
      <c r="B16" s="1" t="s">
        <v>60</v>
      </c>
    </row>
    <row r="17" spans="1:6" x14ac:dyDescent="0.2">
      <c r="B17" s="1" t="s">
        <v>53</v>
      </c>
    </row>
    <row r="18" spans="1:6" x14ac:dyDescent="0.2">
      <c r="B18" s="1" t="s">
        <v>145</v>
      </c>
    </row>
    <row r="19" spans="1:6" x14ac:dyDescent="0.2">
      <c r="B19" s="1" t="s">
        <v>146</v>
      </c>
    </row>
    <row r="20" spans="1:6" x14ac:dyDescent="0.2">
      <c r="B20" s="1" t="s">
        <v>63</v>
      </c>
    </row>
    <row r="21" spans="1:6" x14ac:dyDescent="0.2">
      <c r="B21" s="1" t="s">
        <v>64</v>
      </c>
    </row>
    <row r="22" spans="1:6" x14ac:dyDescent="0.2">
      <c r="B22" s="1" t="s">
        <v>65</v>
      </c>
    </row>
    <row r="23" spans="1:6" x14ac:dyDescent="0.2">
      <c r="B23" s="1" t="s">
        <v>62</v>
      </c>
    </row>
    <row r="24" spans="1:6" x14ac:dyDescent="0.2">
      <c r="A24" s="3" t="s">
        <v>136</v>
      </c>
      <c r="F24" s="3"/>
    </row>
    <row r="25" spans="1:6" x14ac:dyDescent="0.2">
      <c r="B25" s="1" t="s">
        <v>151</v>
      </c>
    </row>
    <row r="26" spans="1:6" x14ac:dyDescent="0.2">
      <c r="B26" s="1" t="s">
        <v>137</v>
      </c>
    </row>
    <row r="27" spans="1:6" x14ac:dyDescent="0.2">
      <c r="B27" s="1" t="s">
        <v>47</v>
      </c>
    </row>
    <row r="28" spans="1:6" x14ac:dyDescent="0.2">
      <c r="B28" s="1" t="s">
        <v>138</v>
      </c>
    </row>
    <row r="29" spans="1:6" x14ac:dyDescent="0.2">
      <c r="B29" s="1" t="s">
        <v>48</v>
      </c>
    </row>
    <row r="30" spans="1:6" x14ac:dyDescent="0.2">
      <c r="B30" s="1" t="s">
        <v>144</v>
      </c>
    </row>
    <row r="31" spans="1:6" x14ac:dyDescent="0.2">
      <c r="B31" s="1" t="s">
        <v>49</v>
      </c>
    </row>
    <row r="32" spans="1:6" x14ac:dyDescent="0.2">
      <c r="A32" s="3" t="s">
        <v>147</v>
      </c>
      <c r="F32" s="3"/>
    </row>
    <row r="33" spans="1:13" x14ac:dyDescent="0.2">
      <c r="B33" s="1" t="s">
        <v>44</v>
      </c>
    </row>
    <row r="34" spans="1:13" x14ac:dyDescent="0.2">
      <c r="B34" s="1" t="s">
        <v>153</v>
      </c>
    </row>
    <row r="35" spans="1:13" x14ac:dyDescent="0.2">
      <c r="B35" s="1" t="s">
        <v>139</v>
      </c>
    </row>
    <row r="36" spans="1:13" x14ac:dyDescent="0.2">
      <c r="B36" s="1" t="s">
        <v>140</v>
      </c>
    </row>
    <row r="37" spans="1:13" x14ac:dyDescent="0.2">
      <c r="B37" s="1" t="s">
        <v>54</v>
      </c>
    </row>
    <row r="38" spans="1:13" x14ac:dyDescent="0.2">
      <c r="B38" s="1" t="s">
        <v>143</v>
      </c>
    </row>
    <row r="39" spans="1:13" x14ac:dyDescent="0.2">
      <c r="B39" s="1" t="s">
        <v>46</v>
      </c>
    </row>
    <row r="40" spans="1:13" x14ac:dyDescent="0.2">
      <c r="A40" s="3" t="s">
        <v>148</v>
      </c>
      <c r="F40" s="3"/>
    </row>
    <row r="41" spans="1:13" x14ac:dyDescent="0.2">
      <c r="B41" s="1" t="s">
        <v>55</v>
      </c>
    </row>
    <row r="42" spans="1:13" x14ac:dyDescent="0.2">
      <c r="B42" s="1" t="s">
        <v>56</v>
      </c>
      <c r="M42" s="3"/>
    </row>
    <row r="43" spans="1:13" x14ac:dyDescent="0.2">
      <c r="B43" s="1" t="s">
        <v>57</v>
      </c>
    </row>
    <row r="44" spans="1:13" x14ac:dyDescent="0.2">
      <c r="B44" s="1" t="s">
        <v>58</v>
      </c>
    </row>
    <row r="45" spans="1:13" x14ac:dyDescent="0.2">
      <c r="A45" s="55"/>
      <c r="B45" s="1" t="s">
        <v>149</v>
      </c>
      <c r="F45" s="55"/>
    </row>
    <row r="46" spans="1:13" x14ac:dyDescent="0.2">
      <c r="B46" s="1" t="s">
        <v>142</v>
      </c>
    </row>
    <row r="47" spans="1:13" x14ac:dyDescent="0.2">
      <c r="B47" s="1" t="s">
        <v>141</v>
      </c>
    </row>
    <row r="48" spans="1:13" x14ac:dyDescent="0.2">
      <c r="B48" s="1" t="s">
        <v>59</v>
      </c>
    </row>
    <row r="50" spans="1:6" ht="19" x14ac:dyDescent="0.25">
      <c r="A50" s="44" t="s">
        <v>66</v>
      </c>
      <c r="F50" s="44"/>
    </row>
    <row r="51" spans="1:6" x14ac:dyDescent="0.2">
      <c r="A51" s="3" t="s">
        <v>67</v>
      </c>
      <c r="F51" s="3"/>
    </row>
    <row r="52" spans="1:6" x14ac:dyDescent="0.2">
      <c r="B52" s="1" t="s">
        <v>68</v>
      </c>
    </row>
    <row r="53" spans="1:6" x14ac:dyDescent="0.2">
      <c r="B53" s="1" t="s">
        <v>69</v>
      </c>
    </row>
    <row r="54" spans="1:6" x14ac:dyDescent="0.2">
      <c r="B54" s="1" t="s">
        <v>52</v>
      </c>
    </row>
    <row r="55" spans="1:6" x14ac:dyDescent="0.2">
      <c r="B55" s="1" t="s">
        <v>51</v>
      </c>
    </row>
    <row r="56" spans="1:6" x14ac:dyDescent="0.2">
      <c r="B56" s="1" t="s">
        <v>70</v>
      </c>
    </row>
    <row r="57" spans="1:6" x14ac:dyDescent="0.2">
      <c r="B57" s="1" t="s">
        <v>71</v>
      </c>
    </row>
    <row r="58" spans="1:6" x14ac:dyDescent="0.2">
      <c r="B58" s="1" t="s">
        <v>72</v>
      </c>
    </row>
    <row r="59" spans="1:6" x14ac:dyDescent="0.2">
      <c r="B59" s="1" t="s">
        <v>150</v>
      </c>
    </row>
    <row r="60" spans="1:6" x14ac:dyDescent="0.2">
      <c r="A60" s="3" t="s">
        <v>73</v>
      </c>
      <c r="F60" s="3"/>
    </row>
    <row r="61" spans="1:6" x14ac:dyDescent="0.2">
      <c r="B61" s="1" t="s">
        <v>74</v>
      </c>
    </row>
    <row r="62" spans="1:6" x14ac:dyDescent="0.2">
      <c r="B62" s="1" t="s">
        <v>75</v>
      </c>
    </row>
    <row r="63" spans="1:6" x14ac:dyDescent="0.2">
      <c r="B63" s="1" t="s">
        <v>76</v>
      </c>
    </row>
    <row r="64" spans="1:6" x14ac:dyDescent="0.2">
      <c r="B64" s="1" t="s">
        <v>77</v>
      </c>
    </row>
    <row r="65" spans="1:6" x14ac:dyDescent="0.2">
      <c r="A65" s="3" t="s">
        <v>78</v>
      </c>
      <c r="F65" s="3"/>
    </row>
    <row r="66" spans="1:6" x14ac:dyDescent="0.2">
      <c r="B66" s="1" t="s">
        <v>79</v>
      </c>
    </row>
    <row r="67" spans="1:6" x14ac:dyDescent="0.2">
      <c r="B67" s="1" t="s">
        <v>80</v>
      </c>
    </row>
    <row r="68" spans="1:6" x14ac:dyDescent="0.2">
      <c r="B68" s="1" t="s">
        <v>81</v>
      </c>
    </row>
    <row r="69" spans="1:6" x14ac:dyDescent="0.2">
      <c r="B69" s="1" t="s">
        <v>82</v>
      </c>
    </row>
    <row r="70" spans="1:6" x14ac:dyDescent="0.2">
      <c r="B70" s="1" t="s">
        <v>83</v>
      </c>
    </row>
    <row r="71" spans="1:6" x14ac:dyDescent="0.2">
      <c r="B71" s="1" t="s">
        <v>84</v>
      </c>
    </row>
    <row r="72" spans="1:6" x14ac:dyDescent="0.2">
      <c r="B72" s="1" t="s">
        <v>85</v>
      </c>
    </row>
    <row r="73" spans="1:6" x14ac:dyDescent="0.2">
      <c r="A73" s="3" t="s">
        <v>86</v>
      </c>
      <c r="F73" s="3"/>
    </row>
    <row r="74" spans="1:6" x14ac:dyDescent="0.2">
      <c r="B74" s="1" t="s">
        <v>87</v>
      </c>
    </row>
    <row r="75" spans="1:6" x14ac:dyDescent="0.2">
      <c r="B75" s="1" t="s">
        <v>88</v>
      </c>
    </row>
    <row r="76" spans="1:6" x14ac:dyDescent="0.2">
      <c r="B76" s="1" t="s">
        <v>89</v>
      </c>
    </row>
    <row r="77" spans="1:6" x14ac:dyDescent="0.2">
      <c r="B77" s="1" t="s">
        <v>90</v>
      </c>
    </row>
    <row r="78" spans="1:6" x14ac:dyDescent="0.2">
      <c r="B78" s="1" t="s">
        <v>91</v>
      </c>
    </row>
    <row r="79" spans="1:6" x14ac:dyDescent="0.2">
      <c r="B79" s="1" t="s">
        <v>92</v>
      </c>
    </row>
    <row r="80" spans="1:6" x14ac:dyDescent="0.2">
      <c r="B80" s="1" t="s">
        <v>93</v>
      </c>
    </row>
    <row r="81" spans="1:6" x14ac:dyDescent="0.2">
      <c r="A81" s="3" t="s">
        <v>94</v>
      </c>
      <c r="F81" s="3"/>
    </row>
    <row r="82" spans="1:6" x14ac:dyDescent="0.2">
      <c r="B82" s="1" t="s">
        <v>60</v>
      </c>
    </row>
    <row r="83" spans="1:6" x14ac:dyDescent="0.2">
      <c r="B83" s="1" t="s">
        <v>95</v>
      </c>
    </row>
    <row r="84" spans="1:6" x14ac:dyDescent="0.2">
      <c r="B84" s="1" t="s">
        <v>96</v>
      </c>
    </row>
    <row r="85" spans="1:6" x14ac:dyDescent="0.2">
      <c r="B85" s="1" t="s">
        <v>53</v>
      </c>
    </row>
    <row r="86" spans="1:6" x14ac:dyDescent="0.2">
      <c r="B86" s="1" t="s">
        <v>97</v>
      </c>
    </row>
    <row r="87" spans="1:6" x14ac:dyDescent="0.2">
      <c r="A87" s="3" t="s">
        <v>98</v>
      </c>
      <c r="F87" s="3"/>
    </row>
    <row r="88" spans="1:6" x14ac:dyDescent="0.2">
      <c r="B88" s="1" t="s">
        <v>99</v>
      </c>
    </row>
    <row r="89" spans="1:6" x14ac:dyDescent="0.2">
      <c r="B89" s="1" t="s">
        <v>100</v>
      </c>
    </row>
    <row r="90" spans="1:6" x14ac:dyDescent="0.2">
      <c r="B90" s="1" t="s">
        <v>101</v>
      </c>
    </row>
    <row r="91" spans="1:6" x14ac:dyDescent="0.2">
      <c r="B91" s="1" t="s">
        <v>102</v>
      </c>
    </row>
    <row r="92" spans="1:6" x14ac:dyDescent="0.2">
      <c r="B92" s="1" t="s">
        <v>103</v>
      </c>
    </row>
    <row r="93" spans="1:6" x14ac:dyDescent="0.2">
      <c r="B93" s="1" t="s">
        <v>104</v>
      </c>
    </row>
    <row r="94" spans="1:6" x14ac:dyDescent="0.2">
      <c r="B94" s="1" t="s">
        <v>105</v>
      </c>
    </row>
    <row r="95" spans="1:6" x14ac:dyDescent="0.2">
      <c r="A95" s="3" t="s">
        <v>106</v>
      </c>
      <c r="F95" s="3"/>
    </row>
    <row r="96" spans="1:6" x14ac:dyDescent="0.2">
      <c r="A96" s="55"/>
      <c r="B96" s="1" t="s">
        <v>107</v>
      </c>
      <c r="F96" s="55"/>
    </row>
    <row r="97" spans="2:2" x14ac:dyDescent="0.2">
      <c r="B97" s="1" t="s">
        <v>108</v>
      </c>
    </row>
    <row r="98" spans="2:2" x14ac:dyDescent="0.2">
      <c r="B98" s="1" t="s">
        <v>109</v>
      </c>
    </row>
    <row r="99" spans="2:2" x14ac:dyDescent="0.2">
      <c r="B99" s="1" t="s">
        <v>110</v>
      </c>
    </row>
    <row r="100" spans="2:2" x14ac:dyDescent="0.2">
      <c r="B100" s="1" t="s">
        <v>111</v>
      </c>
    </row>
    <row r="101" spans="2:2" x14ac:dyDescent="0.2">
      <c r="B101" s="1" t="s">
        <v>112</v>
      </c>
    </row>
    <row r="102" spans="2:2" x14ac:dyDescent="0.2">
      <c r="B102" s="1" t="s">
        <v>113</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3771133-3957-5B4E-9471-BA66EB05B8C7}">
  <dimension ref="B1:I11"/>
  <sheetViews>
    <sheetView workbookViewId="0">
      <selection activeCell="I5" sqref="I5"/>
    </sheetView>
  </sheetViews>
  <sheetFormatPr baseColWidth="10" defaultColWidth="11" defaultRowHeight="16" x14ac:dyDescent="0.2"/>
  <cols>
    <col min="4" max="4" width="39.1640625" customWidth="1"/>
    <col min="7" max="7" width="24.83203125" bestFit="1" customWidth="1"/>
    <col min="8" max="8" width="29.6640625" bestFit="1" customWidth="1"/>
  </cols>
  <sheetData>
    <row r="1" spans="2:9" x14ac:dyDescent="0.2">
      <c r="C1">
        <v>0</v>
      </c>
    </row>
    <row r="2" spans="2:9" x14ac:dyDescent="0.2">
      <c r="B2" t="s">
        <v>2</v>
      </c>
      <c r="C2">
        <v>1</v>
      </c>
      <c r="D2" t="s">
        <v>114</v>
      </c>
      <c r="E2" t="s">
        <v>115</v>
      </c>
      <c r="F2" t="s">
        <v>116</v>
      </c>
      <c r="G2" t="s">
        <v>117</v>
      </c>
      <c r="H2" t="s">
        <v>118</v>
      </c>
      <c r="I2" t="s">
        <v>119</v>
      </c>
    </row>
    <row r="3" spans="2:9" x14ac:dyDescent="0.2">
      <c r="B3" t="s">
        <v>120</v>
      </c>
      <c r="C3">
        <v>2</v>
      </c>
      <c r="D3" t="s">
        <v>121</v>
      </c>
      <c r="E3" t="s">
        <v>12</v>
      </c>
      <c r="F3" t="s">
        <v>26</v>
      </c>
      <c r="G3" t="s">
        <v>6</v>
      </c>
      <c r="H3" t="s">
        <v>11</v>
      </c>
      <c r="I3" t="s">
        <v>39</v>
      </c>
    </row>
    <row r="4" spans="2:9" x14ac:dyDescent="0.2">
      <c r="C4">
        <v>3</v>
      </c>
      <c r="D4" t="s">
        <v>122</v>
      </c>
      <c r="H4" t="s">
        <v>123</v>
      </c>
      <c r="I4" t="s">
        <v>124</v>
      </c>
    </row>
    <row r="5" spans="2:9" x14ac:dyDescent="0.2">
      <c r="C5">
        <v>4</v>
      </c>
      <c r="D5" t="s">
        <v>125</v>
      </c>
    </row>
    <row r="6" spans="2:9" x14ac:dyDescent="0.2">
      <c r="C6">
        <v>5</v>
      </c>
      <c r="D6" t="s">
        <v>126</v>
      </c>
    </row>
    <row r="7" spans="2:9" x14ac:dyDescent="0.2">
      <c r="C7">
        <v>6</v>
      </c>
      <c r="D7" t="s">
        <v>127</v>
      </c>
    </row>
    <row r="8" spans="2:9" x14ac:dyDescent="0.2">
      <c r="C8">
        <v>7</v>
      </c>
      <c r="D8" t="s">
        <v>4</v>
      </c>
    </row>
    <row r="9" spans="2:9" x14ac:dyDescent="0.2">
      <c r="C9">
        <v>8</v>
      </c>
    </row>
    <row r="10" spans="2:9" x14ac:dyDescent="0.2">
      <c r="C10">
        <v>9</v>
      </c>
    </row>
    <row r="11" spans="2:9" x14ac:dyDescent="0.2">
      <c r="C11">
        <v>10</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Asiakirja" ma:contentTypeID="0x010100432488E3B6805443AB139CAC5483A4CF" ma:contentTypeVersion="15" ma:contentTypeDescription="Luo uusi asiakirja." ma:contentTypeScope="" ma:versionID="6d67c294189be00d26be08e9f51f84e1">
  <xsd:schema xmlns:xsd="http://www.w3.org/2001/XMLSchema" xmlns:xs="http://www.w3.org/2001/XMLSchema" xmlns:p="http://schemas.microsoft.com/office/2006/metadata/properties" xmlns:ns2="2b26b38b-3dd3-4c59-b39a-dcf2d2c4b7f8" xmlns:ns3="fd06da4c-9708-4cbc-8692-8598d6b2e25c" targetNamespace="http://schemas.microsoft.com/office/2006/metadata/properties" ma:root="true" ma:fieldsID="625f6b226c0ee562351ff4c0a1bc13b5" ns2:_="" ns3:_="">
    <xsd:import namespace="2b26b38b-3dd3-4c59-b39a-dcf2d2c4b7f8"/>
    <xsd:import namespace="fd06da4c-9708-4cbc-8692-8598d6b2e25c"/>
    <xsd:element name="properties">
      <xsd:complexType>
        <xsd:sequence>
          <xsd:element name="documentManagement">
            <xsd:complexType>
              <xsd:all>
                <xsd:element ref="ns2:MediaServiceMetadata" minOccurs="0"/>
                <xsd:element ref="ns2:MediaServiceFastMetadata" minOccurs="0"/>
                <xsd:element ref="ns2:MediaServiceObjectDetectorVersions" minOccurs="0"/>
                <xsd:element ref="ns2:lcf76f155ced4ddcb4097134ff3c332f" minOccurs="0"/>
                <xsd:element ref="ns3:TaxCatchAll" minOccurs="0"/>
                <xsd:element ref="ns2:MediaServiceDateTaken" minOccurs="0"/>
                <xsd:element ref="ns2:MediaServiceGenerationTime" minOccurs="0"/>
                <xsd:element ref="ns2:MediaServiceEventHashCode" minOccurs="0"/>
                <xsd:element ref="ns2:MediaServiceOCR" minOccurs="0"/>
                <xsd:element ref="ns2:MediaServiceLocation" minOccurs="0"/>
                <xsd:element ref="ns2:MediaLengthInSeconds" minOccurs="0"/>
                <xsd:element ref="ns2:MediaServiceSearchProperties"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b26b38b-3dd3-4c59-b39a-dcf2d2c4b7f8"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hidden="true" ma:indexed="true" ma:internalName="MediaServiceObjectDetectorVersions" ma:readOnly="true">
      <xsd:simpleType>
        <xsd:restriction base="dms:Text"/>
      </xsd:simpleType>
    </xsd:element>
    <xsd:element name="lcf76f155ced4ddcb4097134ff3c332f" ma:index="12" nillable="true" ma:taxonomy="true" ma:internalName="lcf76f155ced4ddcb4097134ff3c332f" ma:taxonomyFieldName="MediaServiceImageTags" ma:displayName="Kuvien tunnisteet" ma:readOnly="false" ma:fieldId="{5cf76f15-5ced-4ddc-b409-7134ff3c332f}" ma:taxonomyMulti="true" ma:sspId="f987c810-0cdd-47a2-80af-daf9a0a023ef" ma:termSetId="09814cd3-568e-fe90-9814-8d621ff8fb84" ma:anchorId="fba54fb3-c3e1-fe81-a776-ca4b69148c4d" ma:open="true" ma:isKeyword="false">
      <xsd:complexType>
        <xsd:sequence>
          <xsd:element ref="pc:Terms" minOccurs="0" maxOccurs="1"/>
        </xsd:sequence>
      </xsd:complexType>
    </xsd:element>
    <xsd:element name="MediaServiceDateTaken" ma:index="14" nillable="true" ma:displayName="MediaServiceDateTaken" ma:hidden="true" ma:indexed="true" ma:internalName="MediaServiceDateTaken" ma:readOnly="true">
      <xsd:simpleType>
        <xsd:restriction base="dms:Text"/>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Location" ma:index="18" nillable="true" ma:displayName="Location" ma:indexed="true" ma:internalName="MediaServiceLocation" ma:readOnly="true">
      <xsd:simpleType>
        <xsd:restriction base="dms:Text"/>
      </xsd:simpleType>
    </xsd:element>
    <xsd:element name="MediaLengthInSeconds" ma:index="19" nillable="true" ma:displayName="MediaLengthInSeconds" ma:hidden="true" ma:internalName="MediaLengthInSeconds" ma:readOnly="true">
      <xsd:simpleType>
        <xsd:restriction base="dms:Unknown"/>
      </xsd:simpleType>
    </xsd:element>
    <xsd:element name="MediaServiceSearchProperties" ma:index="20"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fd06da4c-9708-4cbc-8692-8598d6b2e25c" elementFormDefault="qualified">
    <xsd:import namespace="http://schemas.microsoft.com/office/2006/documentManagement/types"/>
    <xsd:import namespace="http://schemas.microsoft.com/office/infopath/2007/PartnerControls"/>
    <xsd:element name="TaxCatchAll" ma:index="13" nillable="true" ma:displayName="Taxonomy Catch All Column" ma:hidden="true" ma:list="{addcc7e6-d154-4b4e-8041-c14a195b67bf}" ma:internalName="TaxCatchAll" ma:showField="CatchAllData" ma:web="fd06da4c-9708-4cbc-8692-8598d6b2e25c">
      <xsd:complexType>
        <xsd:complexContent>
          <xsd:extension base="dms:MultiChoiceLookup">
            <xsd:sequence>
              <xsd:element name="Value" type="dms:Lookup" maxOccurs="unbounded" minOccurs="0" nillable="true"/>
            </xsd:sequence>
          </xsd:extension>
        </xsd:complexContent>
      </xsd:complexType>
    </xsd:element>
    <xsd:element name="SharedWithUsers" ma:index="21" nillable="true" ma:displayName="Jaettu"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2" nillable="true" ma:displayName="Jakamisen tiedot"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Sisältölaji"/>
        <xsd:element ref="dc:title" minOccurs="0" maxOccurs="1" ma:index="4" ma:displayName="Otsikk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TaxCatchAll xmlns="fd06da4c-9708-4cbc-8692-8598d6b2e25c" xsi:nil="true"/>
    <lcf76f155ced4ddcb4097134ff3c332f xmlns="2b26b38b-3dd3-4c59-b39a-dcf2d2c4b7f8">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23118E27-2109-4186-9ECD-A111B42D3F6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2b26b38b-3dd3-4c59-b39a-dcf2d2c4b7f8"/>
    <ds:schemaRef ds:uri="fd06da4c-9708-4cbc-8692-8598d6b2e25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670F3E95-4502-48E0-A0C5-C1A264304E54}">
  <ds:schemaRefs>
    <ds:schemaRef ds:uri="http://schemas.microsoft.com/sharepoint/v3/contenttype/forms"/>
  </ds:schemaRefs>
</ds:datastoreItem>
</file>

<file path=customXml/itemProps3.xml><?xml version="1.0" encoding="utf-8"?>
<ds:datastoreItem xmlns:ds="http://schemas.openxmlformats.org/officeDocument/2006/customXml" ds:itemID="{B6160097-38D3-4E68-BA74-24959D154ED6}">
  <ds:schemaRefs>
    <ds:schemaRef ds:uri="http://www.w3.org/XML/1998/namespace"/>
    <ds:schemaRef ds:uri="http://purl.org/dc/terms/"/>
    <ds:schemaRef ds:uri="http://purl.org/dc/dcmitype/"/>
    <ds:schemaRef ds:uri="http://schemas.openxmlformats.org/package/2006/metadata/core-properties"/>
    <ds:schemaRef ds:uri="http://schemas.microsoft.com/office/2006/metadata/properties"/>
    <ds:schemaRef ds:uri="http://schemas.microsoft.com/office/2006/documentManagement/types"/>
    <ds:schemaRef ds:uri="http://purl.org/dc/elements/1.1/"/>
    <ds:schemaRef ds:uri="http://schemas.microsoft.com/office/infopath/2007/PartnerControls"/>
    <ds:schemaRef ds:uri="fd06da4c-9708-4cbc-8692-8598d6b2e25c"/>
    <ds:schemaRef ds:uri="2b26b38b-3dd3-4c59-b39a-dcf2d2c4b7f8"/>
  </ds:schemaRefs>
</ds:datastoreItem>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Laskentataulukot</vt:lpstr>
      </vt:variant>
      <vt:variant>
        <vt:i4>6</vt:i4>
      </vt:variant>
    </vt:vector>
  </HeadingPairs>
  <TitlesOfParts>
    <vt:vector size="6" baseType="lpstr">
      <vt:lpstr>Aloitus</vt:lpstr>
      <vt:lpstr>Ajankäyttö</vt:lpstr>
      <vt:lpstr>Myynti ja voittotavoitteet</vt:lpstr>
      <vt:lpstr>Hinnat</vt:lpstr>
      <vt:lpstr>Taul2</vt:lpstr>
      <vt:lpstr>Luettelojen sisällöt</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Oona</dc:creator>
  <cp:keywords/>
  <dc:description/>
  <cp:lastModifiedBy>Oona</cp:lastModifiedBy>
  <cp:revision/>
  <dcterms:created xsi:type="dcterms:W3CDTF">2025-03-24T09:06:30Z</dcterms:created>
  <dcterms:modified xsi:type="dcterms:W3CDTF">2025-05-06T13:39:41Z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0x010100432488E3B6805443AB139CAC5483A4CF</vt:lpwstr>
  </property>
  <property fmtid="{D5CDD505-2E9C-101B-9397-08002B2CF9AE}" pid="3" name="MediaServiceImageTags">
    <vt:lpwstr/>
  </property>
</Properties>
</file>