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mc:AlternateContent xmlns:mc="http://schemas.openxmlformats.org/markup-compatibility/2006">
    <mc:Choice Requires="x15">
      <x15ac:absPath xmlns:x15ac="http://schemas.microsoft.com/office/spreadsheetml/2010/11/ac" url="/Users/oonalahtinen/Desktop/"/>
    </mc:Choice>
  </mc:AlternateContent>
  <xr:revisionPtr revIDLastSave="0" documentId="13_ncr:1_{37BD233D-32E5-CA45-8AAA-F7E0C2150F43}" xr6:coauthVersionLast="47" xr6:coauthVersionMax="47" xr10:uidLastSave="{00000000-0000-0000-0000-000000000000}"/>
  <workbookProtection workbookAlgorithmName="SHA-512" workbookHashValue="llfcVORHgXFNyl1ppgrtFxoAFrKtFRsMZcN0GL3wu3GWZdyJSn+T4cU2FnaM4cnNlFfja+RVEtEfjW9jIRCCvA==" workbookSaltValue="r6Nnt8pzuhBQS5hqI5+LvA==" workbookSpinCount="100000" lockStructure="1"/>
  <bookViews>
    <workbookView xWindow="-4940" yWindow="-23340" windowWidth="38080" windowHeight="23180" xr2:uid="{2CC7C1A6-27F3-1345-92F2-8358AB2D2DA3}"/>
  </bookViews>
  <sheets>
    <sheet name="Start here" sheetId="1" r:id="rId1"/>
    <sheet name="Time management" sheetId="4" r:id="rId2"/>
    <sheet name="Sales and profit goal" sheetId="5" r:id="rId3"/>
    <sheet name="Prices" sheetId="6" r:id="rId4"/>
    <sheet name="Taul2" sheetId="3" state="hidden" r:id="rId5"/>
    <sheet name="Luettelojen sisällöt" sheetId="2" state="hidden"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 i="6" l="1"/>
  <c r="B23" i="1" l="1"/>
  <c r="M20" i="6"/>
  <c r="B41" i="1" l="1" a="1"/>
  <c r="B41" i="1" s="1"/>
  <c r="D150" i="1"/>
  <c r="D21" i="1"/>
  <c r="D20" i="1"/>
  <c r="D19" i="1"/>
  <c r="D18" i="1"/>
  <c r="D17" i="1"/>
  <c r="D16" i="1"/>
  <c r="D15" i="1"/>
  <c r="D14" i="1"/>
  <c r="D13" i="1"/>
  <c r="D12" i="1"/>
  <c r="B21" i="1"/>
  <c r="B20" i="1"/>
  <c r="B19" i="1"/>
  <c r="B18" i="1"/>
  <c r="B17" i="1"/>
  <c r="B15" i="1"/>
  <c r="B16" i="1"/>
  <c r="B14" i="1"/>
  <c r="B13" i="1"/>
  <c r="B12" i="1"/>
  <c r="B11" i="1"/>
  <c r="A20" i="6"/>
  <c r="A9" i="6"/>
  <c r="H35" i="5"/>
  <c r="B20" i="5"/>
  <c r="B8" i="5"/>
  <c r="B5" i="5"/>
  <c r="A19" i="4"/>
  <c r="A7" i="4"/>
  <c r="H7" i="4" s="1"/>
  <c r="F66" i="1"/>
  <c r="C7" i="4" l="1"/>
  <c r="D7" i="4"/>
  <c r="E7" i="4"/>
  <c r="F7" i="4"/>
  <c r="G7" i="4"/>
  <c r="F28" i="1" l="1"/>
  <c r="D28" i="1"/>
  <c r="E28" i="1"/>
  <c r="C28" i="1"/>
  <c r="B27" i="1"/>
  <c r="D8" i="1"/>
  <c r="D7" i="1"/>
  <c r="B8" i="1"/>
  <c r="B7" i="1"/>
  <c r="C6" i="1"/>
  <c r="J8" i="6" l="1"/>
  <c r="J9" i="6"/>
  <c r="J20" i="6"/>
  <c r="J31" i="6"/>
  <c r="E22" i="6"/>
  <c r="E23" i="6"/>
  <c r="E24" i="6"/>
  <c r="E25" i="6"/>
  <c r="E26" i="6"/>
  <c r="E27" i="6"/>
  <c r="E28" i="6"/>
  <c r="E29" i="6"/>
  <c r="E30" i="6"/>
  <c r="E21" i="6"/>
  <c r="E11" i="6"/>
  <c r="E12" i="6"/>
  <c r="E13" i="6"/>
  <c r="E14" i="6"/>
  <c r="E15" i="6"/>
  <c r="E16" i="6"/>
  <c r="E17" i="6"/>
  <c r="E18" i="6"/>
  <c r="E19" i="6"/>
  <c r="E10" i="6"/>
  <c r="D6" i="5"/>
  <c r="H20" i="4"/>
  <c r="I20" i="4" s="1"/>
  <c r="H21" i="4"/>
  <c r="I21" i="4" s="1"/>
  <c r="H22" i="4"/>
  <c r="I22" i="4" s="1"/>
  <c r="H23" i="4"/>
  <c r="I23" i="4" s="1"/>
  <c r="H24" i="4"/>
  <c r="I24" i="4" s="1"/>
  <c r="H25" i="4"/>
  <c r="I25" i="4" s="1"/>
  <c r="H26" i="4"/>
  <c r="I26" i="4" s="1"/>
  <c r="H27" i="4"/>
  <c r="I27" i="4" s="1"/>
  <c r="H28" i="4"/>
  <c r="I28" i="4" s="1"/>
  <c r="H29" i="4"/>
  <c r="I29" i="4" s="1"/>
  <c r="H19" i="4"/>
  <c r="I19" i="4" s="1"/>
  <c r="H17" i="4"/>
  <c r="I17" i="4" s="1"/>
  <c r="H9" i="4"/>
  <c r="I9" i="4" s="1"/>
  <c r="H10" i="4"/>
  <c r="I10" i="4" s="1"/>
  <c r="H11" i="4"/>
  <c r="I11" i="4" s="1"/>
  <c r="H12" i="4"/>
  <c r="I12" i="4" s="1"/>
  <c r="H13" i="4"/>
  <c r="I13" i="4" s="1"/>
  <c r="H14" i="4"/>
  <c r="I14" i="4" s="1"/>
  <c r="H15" i="4"/>
  <c r="I15" i="4" s="1"/>
  <c r="H16" i="4"/>
  <c r="I16" i="4" s="1"/>
  <c r="H8" i="4"/>
  <c r="I8" i="4" s="1"/>
  <c r="B3" i="6"/>
  <c r="C4" i="4"/>
  <c r="A5" i="4"/>
  <c r="E19" i="5"/>
  <c r="E20" i="5"/>
  <c r="A21" i="6" a="1"/>
  <c r="A21" i="6" s="1"/>
  <c r="D21" i="6" s="1"/>
  <c r="A10" i="6" a="1"/>
  <c r="A10" i="6" s="1"/>
  <c r="D10" i="6" s="1"/>
  <c r="E29" i="1" a="1"/>
  <c r="E29" i="1" s="1"/>
  <c r="C29" i="1" a="1"/>
  <c r="C29" i="1" s="1"/>
  <c r="A6" i="5"/>
  <c r="B6" i="5"/>
  <c r="B9" i="5" a="1"/>
  <c r="B9" i="5" s="1"/>
  <c r="B21" i="5" a="1"/>
  <c r="B21" i="5" s="1"/>
  <c r="C43" i="4"/>
  <c r="M21" i="6" l="1"/>
  <c r="M10" i="6"/>
  <c r="D3" i="5"/>
  <c r="A3" i="5"/>
  <c r="D9" i="5"/>
  <c r="B7" i="6"/>
  <c r="E7" i="6"/>
  <c r="E6" i="6" s="1"/>
  <c r="D26" i="6"/>
  <c r="M26" i="6" s="1"/>
  <c r="D27" i="6"/>
  <c r="M27" i="6" s="1"/>
  <c r="D25" i="6"/>
  <c r="M25" i="6" s="1"/>
  <c r="D23" i="6"/>
  <c r="M23" i="6" s="1"/>
  <c r="D22" i="6"/>
  <c r="M22" i="6" s="1"/>
  <c r="D30" i="6"/>
  <c r="M30" i="6" s="1"/>
  <c r="D29" i="6"/>
  <c r="M29" i="6" s="1"/>
  <c r="D24" i="6"/>
  <c r="M24" i="6" s="1"/>
  <c r="D28" i="6"/>
  <c r="M28" i="6" s="1"/>
  <c r="D16" i="6"/>
  <c r="M16" i="6" s="1"/>
  <c r="D12" i="6"/>
  <c r="M12" i="6" s="1"/>
  <c r="D19" i="6"/>
  <c r="M19" i="6" s="1"/>
  <c r="D11" i="6"/>
  <c r="M11" i="6" s="1"/>
  <c r="D18" i="6"/>
  <c r="M18" i="6" s="1"/>
  <c r="D15" i="6"/>
  <c r="M15" i="6" s="1"/>
  <c r="D14" i="6"/>
  <c r="M14" i="6" s="1"/>
  <c r="D13" i="6"/>
  <c r="M13" i="6" s="1"/>
  <c r="D17" i="6"/>
  <c r="M17" i="6" s="1"/>
  <c r="D6" i="6" l="1"/>
  <c r="B10" i="6"/>
  <c r="E9" i="5"/>
  <c r="D18" i="4"/>
  <c r="E18" i="4"/>
  <c r="F18" i="4"/>
  <c r="G18" i="4"/>
  <c r="C18" i="4"/>
  <c r="D30" i="4"/>
  <c r="E30" i="4"/>
  <c r="F30" i="4"/>
  <c r="G30" i="4"/>
  <c r="C30" i="4"/>
  <c r="A30" i="4"/>
  <c r="A18" i="4"/>
  <c r="D29" i="5" l="1"/>
  <c r="D30" i="5"/>
  <c r="D27" i="5"/>
  <c r="D28" i="5"/>
  <c r="D25" i="5"/>
  <c r="D26" i="5"/>
  <c r="D24" i="5"/>
  <c r="H30" i="4"/>
  <c r="I30" i="4" s="1"/>
  <c r="D22" i="5"/>
  <c r="D21" i="5"/>
  <c r="B21" i="6" s="1"/>
  <c r="D11" i="5"/>
  <c r="D18" i="5"/>
  <c r="D12" i="5"/>
  <c r="D10" i="5"/>
  <c r="E10" i="5" s="1"/>
  <c r="D16" i="5"/>
  <c r="D15" i="5"/>
  <c r="D14" i="5"/>
  <c r="D17" i="5"/>
  <c r="D13" i="5"/>
  <c r="H18" i="4"/>
  <c r="I18" i="4" s="1"/>
  <c r="D23" i="5"/>
  <c r="E23" i="5" s="1"/>
  <c r="B20" i="4" a="1"/>
  <c r="B20" i="4" s="1"/>
  <c r="B8" i="4" a="1"/>
  <c r="B8" i="4" s="1"/>
  <c r="A30" i="5"/>
  <c r="A28" i="5"/>
  <c r="A26" i="5"/>
  <c r="A24" i="5"/>
  <c r="A22" i="5"/>
  <c r="A18" i="5"/>
  <c r="A16" i="5"/>
  <c r="A14" i="5"/>
  <c r="A12" i="5"/>
  <c r="A10" i="5"/>
  <c r="B28" i="6" l="1"/>
  <c r="E28" i="5"/>
  <c r="B16" i="6"/>
  <c r="E15" i="5"/>
  <c r="B19" i="6"/>
  <c r="E18" i="5"/>
  <c r="B27" i="6"/>
  <c r="E27" i="5"/>
  <c r="B24" i="6"/>
  <c r="E24" i="5"/>
  <c r="B14" i="6"/>
  <c r="E13" i="5"/>
  <c r="B17" i="6"/>
  <c r="E16" i="5"/>
  <c r="B12" i="6"/>
  <c r="E11" i="5"/>
  <c r="B30" i="6"/>
  <c r="E30" i="5"/>
  <c r="B26" i="6"/>
  <c r="E26" i="5"/>
  <c r="B18" i="6"/>
  <c r="E17" i="5"/>
  <c r="B25" i="6"/>
  <c r="E25" i="5"/>
  <c r="B29" i="6"/>
  <c r="E29" i="5"/>
  <c r="B15" i="6"/>
  <c r="E14" i="5"/>
  <c r="B13" i="6"/>
  <c r="E12" i="5"/>
  <c r="B22" i="6"/>
  <c r="E22" i="5"/>
  <c r="B11" i="6"/>
  <c r="D31" i="5"/>
  <c r="B23" i="6"/>
  <c r="E21" i="5"/>
  <c r="A10" i="4"/>
  <c r="A11" i="5"/>
  <c r="A20" i="4"/>
  <c r="A21" i="5"/>
  <c r="A28" i="4"/>
  <c r="A29" i="5"/>
  <c r="A12" i="4"/>
  <c r="A13" i="5"/>
  <c r="A22" i="4"/>
  <c r="A23" i="5"/>
  <c r="A14" i="4"/>
  <c r="A15" i="5"/>
  <c r="A24" i="4"/>
  <c r="A25" i="5"/>
  <c r="A8" i="4"/>
  <c r="A9" i="5"/>
  <c r="A16" i="4"/>
  <c r="A17" i="5"/>
  <c r="A26" i="4"/>
  <c r="A27" i="5"/>
  <c r="K23" i="5" l="1"/>
  <c r="E31" i="5"/>
  <c r="B6" i="6"/>
  <c r="B4" i="6"/>
  <c r="C14" i="6" l="1"/>
  <c r="F14" i="6" s="1"/>
  <c r="G14" i="6" s="1"/>
  <c r="K14" i="6" s="1"/>
  <c r="C7" i="6"/>
  <c r="C15" i="6"/>
  <c r="F15" i="6" s="1"/>
  <c r="G15" i="6" s="1"/>
  <c r="C17" i="6"/>
  <c r="F17" i="6" s="1"/>
  <c r="G17" i="6" s="1"/>
  <c r="K17" i="6" s="1"/>
  <c r="C13" i="6"/>
  <c r="F13" i="6" s="1"/>
  <c r="G13" i="6" s="1"/>
  <c r="K13" i="6" s="1"/>
  <c r="C16" i="6"/>
  <c r="F16" i="6" s="1"/>
  <c r="G16" i="6" s="1"/>
  <c r="K16" i="6" s="1"/>
  <c r="C19" i="6"/>
  <c r="F19" i="6" s="1"/>
  <c r="G19" i="6" s="1"/>
  <c r="K19" i="6" s="1"/>
  <c r="C12" i="6"/>
  <c r="F12" i="6" s="1"/>
  <c r="G12" i="6" s="1"/>
  <c r="K12" i="6" s="1"/>
  <c r="C11" i="6"/>
  <c r="F11" i="6" s="1"/>
  <c r="G11" i="6" s="1"/>
  <c r="C10" i="6"/>
  <c r="F10" i="6" s="1"/>
  <c r="C30" i="6"/>
  <c r="F30" i="6" s="1"/>
  <c r="G30" i="6" s="1"/>
  <c r="K30" i="6" s="1"/>
  <c r="C28" i="6"/>
  <c r="F28" i="6" s="1"/>
  <c r="G28" i="6" s="1"/>
  <c r="K28" i="6" s="1"/>
  <c r="C27" i="6"/>
  <c r="F27" i="6" s="1"/>
  <c r="G27" i="6" s="1"/>
  <c r="K27" i="6" s="1"/>
  <c r="C26" i="6"/>
  <c r="F26" i="6" s="1"/>
  <c r="G26" i="6" s="1"/>
  <c r="K26" i="6" s="1"/>
  <c r="C21" i="6"/>
  <c r="F21" i="6" s="1"/>
  <c r="G21" i="6" s="1"/>
  <c r="K21" i="6" s="1"/>
  <c r="C25" i="6"/>
  <c r="F25" i="6" s="1"/>
  <c r="G25" i="6" s="1"/>
  <c r="K25" i="6" s="1"/>
  <c r="C29" i="6"/>
  <c r="F29" i="6" s="1"/>
  <c r="G29" i="6" s="1"/>
  <c r="K29" i="6" s="1"/>
  <c r="C22" i="6"/>
  <c r="F22" i="6" s="1"/>
  <c r="G22" i="6" s="1"/>
  <c r="K22" i="6" s="1"/>
  <c r="C24" i="6"/>
  <c r="F24" i="6" s="1"/>
  <c r="G24" i="6" s="1"/>
  <c r="K24" i="6" s="1"/>
  <c r="C18" i="6"/>
  <c r="F18" i="6" s="1"/>
  <c r="G18" i="6" s="1"/>
  <c r="K18" i="6" s="1"/>
  <c r="C23" i="6"/>
  <c r="F23" i="6" s="1"/>
  <c r="G23" i="6" s="1"/>
  <c r="K23" i="6" s="1"/>
  <c r="H15" i="6" l="1"/>
  <c r="I15" i="6" s="1"/>
  <c r="J15" i="6" s="1"/>
  <c r="K15" i="6"/>
  <c r="H11" i="6"/>
  <c r="I11" i="6" s="1"/>
  <c r="J11" i="6" s="1"/>
  <c r="K11" i="6"/>
  <c r="G10" i="6"/>
  <c r="H19" i="6"/>
  <c r="I19" i="6" s="1"/>
  <c r="J19" i="6" s="1"/>
  <c r="H18" i="6"/>
  <c r="I18" i="6" s="1"/>
  <c r="J18" i="6" s="1"/>
  <c r="C6" i="6"/>
  <c r="H12" i="6"/>
  <c r="I12" i="6" s="1"/>
  <c r="J12" i="6" s="1"/>
  <c r="H30" i="6"/>
  <c r="I30" i="6" s="1"/>
  <c r="J30" i="6" s="1"/>
  <c r="H29" i="6"/>
  <c r="I29" i="6" s="1"/>
  <c r="J29" i="6" s="1"/>
  <c r="H22" i="6"/>
  <c r="I22" i="6" s="1"/>
  <c r="J22" i="6" s="1"/>
  <c r="H21" i="6"/>
  <c r="I21" i="6" s="1"/>
  <c r="J21" i="6" s="1"/>
  <c r="H28" i="6"/>
  <c r="I28" i="6" s="1"/>
  <c r="J28" i="6" s="1"/>
  <c r="H27" i="6"/>
  <c r="I27" i="6" s="1"/>
  <c r="J27" i="6" s="1"/>
  <c r="H26" i="6"/>
  <c r="I26" i="6" s="1"/>
  <c r="J26" i="6" s="1"/>
  <c r="H25" i="6"/>
  <c r="I25" i="6" s="1"/>
  <c r="J25" i="6" s="1"/>
  <c r="H24" i="6"/>
  <c r="I24" i="6" s="1"/>
  <c r="J24" i="6" s="1"/>
  <c r="H23" i="6"/>
  <c r="I23" i="6" s="1"/>
  <c r="J23" i="6" s="1"/>
  <c r="H17" i="6"/>
  <c r="I17" i="6" s="1"/>
  <c r="J17" i="6" s="1"/>
  <c r="H16" i="6"/>
  <c r="I16" i="6" s="1"/>
  <c r="J16" i="6" s="1"/>
  <c r="H14" i="6"/>
  <c r="I14" i="6" s="1"/>
  <c r="J14" i="6" s="1"/>
  <c r="H13" i="6"/>
  <c r="I13" i="6" s="1"/>
  <c r="J13" i="6" s="1"/>
  <c r="F7" i="6"/>
  <c r="G7" i="6" s="1"/>
  <c r="K7" i="6" s="1"/>
  <c r="H10" i="6" l="1"/>
  <c r="I10" i="6" s="1"/>
  <c r="J10" i="6" s="1"/>
  <c r="K10" i="6"/>
  <c r="K6" i="6" s="1"/>
  <c r="H7" i="6"/>
  <c r="F6" i="6"/>
  <c r="I7" i="6" l="1"/>
  <c r="J7" i="6" s="1"/>
  <c r="J6" i="6"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<sst xmlns="http://schemas.openxmlformats.org/spreadsheetml/2006/main" count="176" uniqueCount="161">
  <si>
    <t>Internet</t>
  </si>
  <si>
    <t>%</t>
  </si>
  <si>
    <t>Welcome to the pricing tool!</t>
  </si>
  <si>
    <t>I'm a private trader</t>
  </si>
  <si>
    <t>Yes</t>
  </si>
  <si>
    <t>No</t>
  </si>
  <si>
    <t>I offer</t>
  </si>
  <si>
    <t>Only products</t>
  </si>
  <si>
    <t>Only services</t>
  </si>
  <si>
    <t>Only time with hourly billing</t>
  </si>
  <si>
    <t>Products and services</t>
  </si>
  <si>
    <t>Products and time</t>
  </si>
  <si>
    <t>Services and time</t>
  </si>
  <si>
    <t>Products, services and time</t>
  </si>
  <si>
    <t>h/month</t>
  </si>
  <si>
    <t>h/year</t>
  </si>
  <si>
    <t>pcs/month</t>
  </si>
  <si>
    <t>pcs/year</t>
  </si>
  <si>
    <t>12 months a year</t>
  </si>
  <si>
    <t>11 months a year (1 month vacation)</t>
  </si>
  <si>
    <t>Other amount of hours</t>
  </si>
  <si>
    <t>0 % tax</t>
  </si>
  <si>
    <t>25,5 % tax</t>
  </si>
  <si>
    <t>14 % tax</t>
  </si>
  <si>
    <t>I want to input material costs</t>
  </si>
  <si>
    <t>as one lump sum</t>
  </si>
  <si>
    <t>for each individual product</t>
  </si>
  <si>
    <t>Yearly costs</t>
  </si>
  <si>
    <t>Electricity</t>
  </si>
  <si>
    <t>Heating</t>
  </si>
  <si>
    <t>Office supplies</t>
  </si>
  <si>
    <t>Travel expenses</t>
  </si>
  <si>
    <t>Marketing events</t>
  </si>
  <si>
    <t>Marketing materials</t>
  </si>
  <si>
    <t>Supplies</t>
  </si>
  <si>
    <t>Services</t>
  </si>
  <si>
    <t>Home insurance</t>
  </si>
  <si>
    <t>Life insurance</t>
  </si>
  <si>
    <t>Pet insurance</t>
  </si>
  <si>
    <t>Taxes</t>
  </si>
  <si>
    <t>Church tax</t>
  </si>
  <si>
    <t>Gift tax</t>
  </si>
  <si>
    <t>Transfer tax</t>
  </si>
  <si>
    <t>Other personal taxes</t>
  </si>
  <si>
    <t>Raw-materials and other materials costs</t>
  </si>
  <si>
    <t>Mortgage payments</t>
  </si>
  <si>
    <t>Water</t>
  </si>
  <si>
    <t>Home maintenance and repairs</t>
  </si>
  <si>
    <t>Fuel</t>
  </si>
  <si>
    <t>Other transportation costs</t>
  </si>
  <si>
    <t>Pets</t>
  </si>
  <si>
    <t>Parties</t>
  </si>
  <si>
    <t>Restaurants</t>
  </si>
  <si>
    <t>Vacation costs</t>
  </si>
  <si>
    <t>Cleaning supplies</t>
  </si>
  <si>
    <t>Small appliances</t>
  </si>
  <si>
    <t>Other supplies</t>
  </si>
  <si>
    <t>Streaming services</t>
  </si>
  <si>
    <t>Phone operator costs</t>
  </si>
  <si>
    <t>Time management</t>
  </si>
  <si>
    <t>I will work</t>
  </si>
  <si>
    <r>
      <t xml:space="preserve">Estimate the </t>
    </r>
    <r>
      <rPr>
        <b/>
        <sz val="12"/>
        <color theme="2" tint="-0.499984740745262"/>
        <rFont val="Aptos Narrow"/>
        <scheme val="minor"/>
      </rPr>
      <t>time</t>
    </r>
    <r>
      <rPr>
        <sz val="12"/>
        <color theme="2" tint="-0.499984740745262"/>
        <rFont val="Aptos Narrow"/>
        <scheme val="minor"/>
      </rPr>
      <t xml:space="preserve"> it takes to produce </t>
    </r>
    <r>
      <rPr>
        <b/>
        <sz val="12"/>
        <color theme="2" tint="-0.499984740745262"/>
        <rFont val="Aptos Narrow"/>
        <scheme val="minor"/>
      </rPr>
      <t>each unit</t>
    </r>
    <r>
      <rPr>
        <sz val="12"/>
        <color theme="2" tint="-0.499984740745262"/>
        <rFont val="Aptos Narrow"/>
        <scheme val="minor"/>
      </rPr>
      <t xml:space="preserve"> of a product or service below.</t>
    </r>
  </si>
  <si>
    <t>Please estimate the amount of time it takes to run your business. Time that isn't spent making a specific product or service.</t>
  </si>
  <si>
    <t>General operations time</t>
  </si>
  <si>
    <t>Design work</t>
  </si>
  <si>
    <t>Administration (accounting, taxes etc.)</t>
  </si>
  <si>
    <t>Research and development</t>
  </si>
  <si>
    <t>Marketing and sales (incl. Negotiations)</t>
  </si>
  <si>
    <t>Travel time</t>
  </si>
  <si>
    <t>Procurement/purchasing</t>
  </si>
  <si>
    <t>Other</t>
  </si>
  <si>
    <t>Total</t>
  </si>
  <si>
    <t>Sales and profit goal</t>
  </si>
  <si>
    <t xml:space="preserve">Step 3: Estimate the yearly sales of your products, services and billable hours. To help with planning, the time it would take to produce the entered amount of units is calculated on the right side of the entered product/service sales amount. The red speech bubble on the right will warn you if there isn't enough time to produce the entered amount of units. </t>
  </si>
  <si>
    <t>Profit goal</t>
  </si>
  <si>
    <t>€/year</t>
  </si>
  <si>
    <t>Prices</t>
  </si>
  <si>
    <t>Costs + profit goal</t>
  </si>
  <si>
    <t>Production hours</t>
  </si>
  <si>
    <t>TOTAL</t>
  </si>
  <si>
    <t>Materials costs</t>
  </si>
  <si>
    <t>Yearly sales</t>
  </si>
  <si>
    <t>Share of costs by time used</t>
  </si>
  <si>
    <t>Price (no tax)</t>
  </si>
  <si>
    <t>Sales price</t>
  </si>
  <si>
    <t>Revenue (no tax)</t>
  </si>
  <si>
    <t>Revenue (with tax)</t>
  </si>
  <si>
    <t>Amount of time used</t>
  </si>
  <si>
    <t>Facilities and Equipment</t>
  </si>
  <si>
    <t>Rent of business premises</t>
  </si>
  <si>
    <t>Maintenance and upkeep of premises</t>
  </si>
  <si>
    <t>Equipment leasing</t>
  </si>
  <si>
    <t>Other facility and equipment expenses</t>
  </si>
  <si>
    <t>Services and Licenses</t>
  </si>
  <si>
    <t>Accounting services</t>
  </si>
  <si>
    <t>Software license fees</t>
  </si>
  <si>
    <t>Software registration fees</t>
  </si>
  <si>
    <t>Telephone costs</t>
  </si>
  <si>
    <t>Patent, design, and IPR expenses</t>
  </si>
  <si>
    <t>Membership fees (non-staff associations)</t>
  </si>
  <si>
    <t>Bank fees</t>
  </si>
  <si>
    <t>Financing application fees</t>
  </si>
  <si>
    <t>Loan interest</t>
  </si>
  <si>
    <t>Other service and software expenses</t>
  </si>
  <si>
    <t>Personnel Costs</t>
  </si>
  <si>
    <t>Self-employed pension insurance (YEL)</t>
  </si>
  <si>
    <t>Self-employed unemployment insurance</t>
  </si>
  <si>
    <t>Employee salaries</t>
  </si>
  <si>
    <t>Employee insurance</t>
  </si>
  <si>
    <t>Training costs</t>
  </si>
  <si>
    <t>Union and association membership fees</t>
  </si>
  <si>
    <t>Other personnel expenses</t>
  </si>
  <si>
    <t>Production and Procurement</t>
  </si>
  <si>
    <t>Production costs</t>
  </si>
  <si>
    <t>Packaging materials</t>
  </si>
  <si>
    <t>Storage costs</t>
  </si>
  <si>
    <t>Books and magazines</t>
  </si>
  <si>
    <t>Other production-related expenses</t>
  </si>
  <si>
    <t>Marketing and Sales</t>
  </si>
  <si>
    <t>Advertising costs</t>
  </si>
  <si>
    <t>Shipping and delivery costs</t>
  </si>
  <si>
    <t>Representation expenses</t>
  </si>
  <si>
    <t>Other marketing and sales expenses</t>
  </si>
  <si>
    <t>Personal Expenses</t>
  </si>
  <si>
    <t>Housing</t>
  </si>
  <si>
    <t>Rent</t>
  </si>
  <si>
    <t>Interior decoration</t>
  </si>
  <si>
    <t>Other housing expenses</t>
  </si>
  <si>
    <t>Transportation</t>
  </si>
  <si>
    <t>Public transport tickets</t>
  </si>
  <si>
    <t>Car maintenance</t>
  </si>
  <si>
    <t>Leisure</t>
  </si>
  <si>
    <t>Hobby fees</t>
  </si>
  <si>
    <t>Participation/event fees</t>
  </si>
  <si>
    <t>Other leisure expenses</t>
  </si>
  <si>
    <t>Groceries</t>
  </si>
  <si>
    <t>Household appliances</t>
  </si>
  <si>
    <t>Clothing</t>
  </si>
  <si>
    <t>Daily consumables</t>
  </si>
  <si>
    <t>Other personal services</t>
  </si>
  <si>
    <t>Insurance and Preparedness</t>
  </si>
  <si>
    <t>Vehicle insurance</t>
  </si>
  <si>
    <t>Health and accident insurance</t>
  </si>
  <si>
    <t>Savings</t>
  </si>
  <si>
    <t>Other insurance and preparedness expenses</t>
  </si>
  <si>
    <t>Property tax</t>
  </si>
  <si>
    <t>Vehicle tax</t>
  </si>
  <si>
    <t>Capital gains tax</t>
  </si>
  <si>
    <t xml:space="preserve">New machines and equipment </t>
  </si>
  <si>
    <t xml:space="preserve">Depreciation of machines and equipment </t>
  </si>
  <si>
    <t>Fair and exhibition fees</t>
  </si>
  <si>
    <t>Website upkeep and maintenance</t>
  </si>
  <si>
    <r>
      <t xml:space="preserve">Profit is the amount of money that is left over after all expenses have been covered. This is used in the price calculations. </t>
    </r>
    <r>
      <rPr>
        <b/>
        <sz val="12"/>
        <color theme="2" tint="-0.499984740745262"/>
        <rFont val="Aptos Narrow"/>
        <scheme val="minor"/>
      </rPr>
      <t>When planning your profit goal</t>
    </r>
    <r>
      <rPr>
        <sz val="12"/>
        <color theme="2" tint="-0.499984740745262"/>
        <rFont val="Aptos Narrow"/>
        <family val="2"/>
        <scheme val="minor"/>
      </rPr>
      <t>, you can consider the following: Do I need to make an investment soon? How much money do I need to save up for it? Do I need to save up in case something happens or I can't reach my sales goals?</t>
    </r>
  </si>
  <si>
    <t>Outsourced services</t>
  </si>
  <si>
    <t>e.g., graphic or packaging design</t>
  </si>
  <si>
    <r>
      <t xml:space="preserve">Step 1: Choose whether or not you conduct business as a "private trader" (toiminimiyritys in finnish). In the next drop-down menu, choose whether your company provides products, services, time with hourly billing, or a combination of the aforementioned. </t>
    </r>
    <r>
      <rPr>
        <b/>
        <sz val="14"/>
        <color theme="2" tint="-0.499984740745262"/>
        <rFont val="Aptos Narrow"/>
        <scheme val="minor"/>
      </rPr>
      <t xml:space="preserve">Please choose the option that best describes your company, </t>
    </r>
    <r>
      <rPr>
        <sz val="14"/>
        <color theme="2" tint="-0.499984740745262"/>
        <rFont val="Aptos Narrow"/>
        <scheme val="minor"/>
      </rPr>
      <t xml:space="preserve">as this affects the calculations. Based on your chosen option, more fields will appear. Please enter the number of products/services that you want to calculate a price for. This calculator can be used to calculate a price for 10 products and 10 services. </t>
    </r>
  </si>
  <si>
    <t>e.g. production costs that a factory may charge per batch</t>
  </si>
  <si>
    <t>Time used</t>
  </si>
  <si>
    <r>
      <t xml:space="preserve">If you keep getting wacky prices, try adjusting the per unit production times that you've entered on the "Time management"-tab so that they reflect realistically the time it takes to produce </t>
    </r>
    <r>
      <rPr>
        <b/>
        <sz val="14"/>
        <color theme="2" tint="-0.499984740745262"/>
        <rFont val="Aptos Narrow"/>
        <scheme val="minor"/>
      </rPr>
      <t>one unit</t>
    </r>
    <r>
      <rPr>
        <sz val="14"/>
        <color theme="2" tint="-0.499984740745262"/>
        <rFont val="Aptos Narrow"/>
        <scheme val="minor"/>
      </rPr>
      <t xml:space="preserve"> of the product/service at hand. If that doesn't work, try filling the materials costs per product instead of one sum. That way the materials costs are applied to the correct products7services. If you've tried everything and the prices still seem odd, you can schedule an appointment for personal advising on the Ornamo website (available for members). </t>
    </r>
  </si>
  <si>
    <r>
      <t xml:space="preserve">Here you can find the price calculations for your products and services calculated using the information you've entered. On the "Tax %" menu, you can choose 0, 14 or 25,5 % value-added tax. The prices are calculated as follows: The expenses you've input are divided between the products and services based on the time used. The shares of expenses are then divided by the sales volume to obtain the per unit amount of expenses. The material costs and the chosen tax are then added to the price. </t>
    </r>
    <r>
      <rPr>
        <b/>
        <sz val="14"/>
        <color theme="2" tint="-0.499984740745262"/>
        <rFont val="Aptos Narrow (Leipäteksti)"/>
      </rPr>
      <t>Please note that the prices shown below are calculated based on the information and figures you've provided and can not be considered to be Ornamo's price recommendations for design product or services.</t>
    </r>
  </si>
  <si>
    <r>
      <t xml:space="preserve">Step 2: Fill in the time it takes to produce each unit of the products and/or services you provide. The goal of this step is to plan yearly working time in a way that allows you to produce the intended amounts of products/services while reserving time for other business operations such as administrative tasks and designing new products. </t>
    </r>
    <r>
      <rPr>
        <b/>
        <sz val="14"/>
        <color theme="2" tint="-0.499984740745262"/>
        <rFont val="Aptos Narrow (Leipäteksti)"/>
      </rPr>
      <t>If you offer only time with hourly billing, you can skip to the "Sales and profit goal"-tab.</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</si>
</sst>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0.0\ &quot;€&quot;"/>
  </numFmts>
  <fonts count="12" x14ac:knownFonts="1">
    <font>
      <sz val="12"/>
      <color theme="1"/>
      <name val="Aptos Narrow"/>
      <family val="2"/>
      <scheme val="minor"/>
    </font>
    <font>
      <sz val="12"/>
      <color theme="2" tint="-0.499984740745262"/>
      <name val="Aptos Narrow"/>
      <family val="2"/>
      <scheme val="minor"/>
    </font>
    <font>
      <b/>
      <sz val="12"/>
      <color theme="2" tint="-0.499984740745262"/>
      <name val="Aptos Narrow"/>
      <scheme val="minor"/>
    </font>
    <font>
      <sz val="12"/>
      <color theme="0"/>
      <name val="Aptos Narrow"/>
      <family val="2"/>
      <scheme val="minor"/>
    </font>
    <font>
      <sz val="14"/>
      <color theme="2" tint="-0.499984740745262"/>
      <name val="Aptos Narrow"/>
      <family val="2"/>
      <scheme val="minor"/>
    </font>
    <font>
      <b/>
      <sz val="18"/>
      <color theme="2" tint="-0.499984740745262"/>
      <name val="Aptos Narrow"/>
      <scheme val="minor"/>
    </font>
    <font>
      <b/>
      <sz val="12"/>
      <color theme="0"/>
      <name val="Aptos Narrow"/>
      <scheme val="minor"/>
    </font>
    <font>
      <sz val="14"/>
      <color theme="2" tint="-0.499984740745262"/>
      <name val="Aptos Narrow (Leipäteksti)"/>
    </font>
    <font>
      <sz val="14"/>
      <color theme="2" tint="-0.499984740745262"/>
      <name val="Aptos Narrow"/>
      <scheme val="minor"/>
    </font>
    <font>
      <b/>
      <sz val="14"/>
      <color theme="2" tint="-0.499984740745262"/>
      <name val="Aptos Narrow (Leipäteksti)"/>
    </font>
    <font>
      <sz val="12"/>
      <color theme="2" tint="-0.499984740745262"/>
      <name val="Aptos Narrow"/>
      <scheme val="minor"/>
    </font>
    <font>
      <b/>
      <sz val="14"/>
      <color theme="2" tint="-0.499984740745262"/>
      <name val="Aptos Narrow"/>
      <scheme val="minor"/>
    </font>
  </fonts>
  <fills count="8">
    <fill>
      <patternFill patternType="none"/>
    </fill>
    <fill>
      <patternFill patternType="gray125"/>
    </fill>
    <fill>
      <patternFill patternType="solid">
        <fgColor theme="8" tint="-9.9978637043366805E-2"/>
        <bgColor indexed="64"/>
      </patternFill>
    </fill>
    <fill>
      <patternFill patternType="solid">
        <fgColor theme="6"/>
        <bgColor indexed="64"/>
      </patternFill>
    </fill>
    <fill>
      <patternFill patternType="solid">
        <fgColor theme="3" tint="0.79998168889431442"/>
        <bgColor indexed="64"/>
      </patternFill>
    </fill>
    <fill>
      <patternFill patternType="solid">
        <fgColor theme="3" tint="0.59999389629810485"/>
        <bgColor indexed="64"/>
      </patternFill>
    </fill>
    <fill>
      <patternFill patternType="solid">
        <fgColor theme="7"/>
        <bgColor indexed="64"/>
      </patternFill>
    </fill>
    <fill>
      <patternFill patternType="solid">
        <fgColor theme="4"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theme="8" tint="-0.249977111117893"/>
      </left>
      <right style="thin">
        <color theme="8" tint="-0.249977111117893"/>
      </right>
      <top style="thin">
        <color theme="8" tint="-0.249977111117893"/>
      </top>
      <bottom style="thin">
        <color theme="8" tint="-0.249977111117893"/>
      </bottom>
      <diagonal/>
    </border>
    <border>
      <left style="thin">
        <color theme="8" tint="-0.249977111117893"/>
      </left>
      <right style="thin">
        <color theme="8" tint="-0.249977111117893"/>
      </right>
      <top/>
      <bottom style="thin">
        <color theme="8" tint="-0.249977111117893"/>
      </bottom>
      <diagonal/>
    </border>
  </borders>
  <cellStyleXfs count="1">
    <xf numFmtId="0" fontId="0" fillId="0" borderId="0"/>
  </cellStyleXfs>
  <cellXfs count="70">
    <xf numFmtId="0" fontId="0" fillId="0" borderId="0" xfId="0"/>
    <xf numFmtId="0" fontId="1" fillId="0" borderId="0" xfId="0" applyFont="1"/>
    <xf numFmtId="0" fontId="2" fillId="2" borderId="0" xfId="0" applyFont="1" applyFill="1"/>
    <xf numFmtId="0" fontId="3" fillId="0" borderId="0" xfId="0" applyFont="1"/>
    <xf numFmtId="0" fontId="2" fillId="0" borderId="0" xfId="0" applyFont="1"/>
    <xf numFmtId="0" fontId="1" fillId="0" borderId="0" xfId="0" applyFont="1" applyAlignment="1">
      <alignment vertical="center" wrapText="1"/>
    </xf>
    <xf numFmtId="0" fontId="1" fillId="3" borderId="0" xfId="0" applyFont="1" applyFill="1"/>
    <xf numFmtId="0" fontId="4" fillId="3" borderId="0" xfId="0" applyFont="1" applyFill="1"/>
    <xf numFmtId="0" fontId="5" fillId="3" borderId="0" xfId="0" applyFont="1" applyFill="1" applyAlignment="1">
      <alignment horizontal="center" vertical="center"/>
    </xf>
    <xf numFmtId="0" fontId="2" fillId="0" borderId="0" xfId="0" applyFont="1" applyAlignment="1">
      <alignment wrapText="1"/>
    </xf>
    <xf numFmtId="164" fontId="1" fillId="0" borderId="0" xfId="0" applyNumberFormat="1" applyFont="1"/>
    <xf numFmtId="0" fontId="1" fillId="3" borderId="0" xfId="0" applyFont="1" applyFill="1" applyAlignment="1">
      <alignment vertical="center" wrapText="1"/>
    </xf>
    <xf numFmtId="0" fontId="1" fillId="0" borderId="0" xfId="0" applyFont="1" applyAlignment="1">
      <alignment vertical="center"/>
    </xf>
    <xf numFmtId="0" fontId="2" fillId="5" borderId="0" xfId="0" applyFont="1" applyFill="1"/>
    <xf numFmtId="0" fontId="2" fillId="5" borderId="0" xfId="0" applyFont="1" applyFill="1" applyAlignment="1">
      <alignment vertical="center"/>
    </xf>
    <xf numFmtId="0" fontId="1" fillId="5" borderId="2" xfId="0" applyFont="1" applyFill="1" applyBorder="1"/>
    <xf numFmtId="0" fontId="6" fillId="0" borderId="0" xfId="0" applyFont="1"/>
    <xf numFmtId="165" fontId="1" fillId="0" borderId="0" xfId="0" applyNumberFormat="1" applyFont="1"/>
    <xf numFmtId="0" fontId="2" fillId="0" borderId="0" xfId="0" applyFont="1" applyAlignment="1">
      <alignment horizontal="center" wrapText="1"/>
    </xf>
    <xf numFmtId="0" fontId="10" fillId="0" borderId="0" xfId="0" applyFont="1"/>
    <xf numFmtId="0" fontId="5" fillId="3" borderId="0" xfId="0" applyFont="1" applyFill="1" applyAlignment="1">
      <alignment horizontal="left" vertical="center"/>
    </xf>
    <xf numFmtId="0" fontId="2" fillId="4" borderId="0" xfId="0" applyFont="1" applyFill="1"/>
    <xf numFmtId="0" fontId="10" fillId="0" borderId="0" xfId="0" applyFont="1" applyAlignment="1">
      <alignment vertical="center"/>
    </xf>
    <xf numFmtId="10" fontId="5" fillId="3" borderId="0" xfId="0" applyNumberFormat="1" applyFont="1" applyFill="1" applyAlignment="1">
      <alignment horizontal="left"/>
    </xf>
    <xf numFmtId="10" fontId="1" fillId="0" borderId="0" xfId="0" applyNumberFormat="1" applyFont="1"/>
    <xf numFmtId="1" fontId="1" fillId="0" borderId="0" xfId="0" applyNumberFormat="1" applyFont="1"/>
    <xf numFmtId="1" fontId="1" fillId="0" borderId="0" xfId="0" applyNumberFormat="1" applyFont="1" applyAlignment="1">
      <alignment wrapText="1"/>
    </xf>
    <xf numFmtId="0" fontId="4" fillId="3" borderId="0" xfId="0" applyFont="1" applyFill="1" applyAlignment="1">
      <alignment horizontal="left" vertical="center" wrapText="1"/>
    </xf>
    <xf numFmtId="0" fontId="7" fillId="3" borderId="0" xfId="0" applyFont="1" applyFill="1" applyAlignment="1">
      <alignment horizontal="left" vertical="center" wrapText="1"/>
    </xf>
    <xf numFmtId="1" fontId="1" fillId="0" borderId="0" xfId="0" quotePrefix="1" applyNumberFormat="1" applyFont="1"/>
    <xf numFmtId="165" fontId="1" fillId="3" borderId="0" xfId="0" applyNumberFormat="1" applyFont="1" applyFill="1"/>
    <xf numFmtId="165" fontId="2" fillId="0" borderId="0" xfId="0" applyNumberFormat="1" applyFont="1" applyAlignment="1">
      <alignment horizontal="center" wrapText="1"/>
    </xf>
    <xf numFmtId="10" fontId="2" fillId="0" borderId="0" xfId="0" applyNumberFormat="1" applyFont="1" applyAlignment="1">
      <alignment horizontal="center" wrapText="1"/>
    </xf>
    <xf numFmtId="0" fontId="2" fillId="0" borderId="0" xfId="0" applyFont="1" applyAlignment="1">
      <alignment horizontal="center"/>
    </xf>
    <xf numFmtId="165" fontId="1" fillId="0" borderId="0" xfId="0" applyNumberFormat="1" applyFont="1" applyAlignment="1">
      <alignment horizontal="center"/>
    </xf>
    <xf numFmtId="0" fontId="2" fillId="6" borderId="0" xfId="0" applyFont="1" applyFill="1"/>
    <xf numFmtId="1" fontId="2" fillId="6" borderId="0" xfId="0" applyNumberFormat="1" applyFont="1" applyFill="1" applyAlignment="1">
      <alignment horizontal="right" wrapText="1"/>
    </xf>
    <xf numFmtId="10" fontId="2" fillId="6" borderId="0" xfId="0" applyNumberFormat="1" applyFont="1" applyFill="1" applyAlignment="1">
      <alignment horizontal="right" wrapText="1"/>
    </xf>
    <xf numFmtId="164" fontId="2" fillId="6" borderId="0" xfId="0" applyNumberFormat="1" applyFont="1" applyFill="1" applyAlignment="1">
      <alignment horizontal="right" wrapText="1"/>
    </xf>
    <xf numFmtId="0" fontId="5" fillId="3" borderId="0" xfId="0" applyFont="1" applyFill="1" applyAlignment="1">
      <alignment horizontal="right" vertical="center"/>
    </xf>
    <xf numFmtId="165" fontId="1" fillId="7" borderId="5" xfId="0" applyNumberFormat="1" applyFont="1" applyFill="1" applyBorder="1"/>
    <xf numFmtId="165" fontId="2" fillId="7" borderId="4" xfId="0" applyNumberFormat="1" applyFont="1" applyFill="1" applyBorder="1" applyAlignment="1">
      <alignment horizontal="center"/>
    </xf>
    <xf numFmtId="164" fontId="2" fillId="7" borderId="4" xfId="0" applyNumberFormat="1" applyFont="1" applyFill="1" applyBorder="1" applyAlignment="1">
      <alignment horizontal="right" wrapText="1"/>
    </xf>
    <xf numFmtId="165" fontId="1" fillId="7" borderId="4" xfId="0" applyNumberFormat="1" applyFont="1" applyFill="1" applyBorder="1"/>
    <xf numFmtId="0" fontId="1" fillId="0" borderId="0" xfId="0" applyFont="1" applyProtection="1">
      <protection locked="0"/>
    </xf>
    <xf numFmtId="0" fontId="1" fillId="0" borderId="1" xfId="0" applyFont="1" applyBorder="1" applyProtection="1">
      <protection locked="0"/>
    </xf>
    <xf numFmtId="0" fontId="10" fillId="0" borderId="0" xfId="0" applyFont="1" applyProtection="1">
      <protection locked="0"/>
    </xf>
    <xf numFmtId="0" fontId="10" fillId="0" borderId="1" xfId="0" applyFont="1" applyBorder="1" applyProtection="1">
      <protection locked="0"/>
    </xf>
    <xf numFmtId="0" fontId="1" fillId="4" borderId="1" xfId="0" applyFont="1" applyFill="1" applyBorder="1" applyProtection="1">
      <protection locked="0"/>
    </xf>
    <xf numFmtId="0" fontId="1" fillId="4" borderId="3" xfId="0" applyFont="1" applyFill="1" applyBorder="1" applyProtection="1">
      <protection locked="0"/>
    </xf>
    <xf numFmtId="0" fontId="2" fillId="2" borderId="0" xfId="0" applyFont="1" applyFill="1" applyProtection="1">
      <protection locked="0"/>
    </xf>
    <xf numFmtId="165" fontId="1" fillId="0" borderId="1" xfId="0" applyNumberFormat="1" applyFont="1" applyBorder="1" applyProtection="1">
      <protection locked="0"/>
    </xf>
    <xf numFmtId="165" fontId="1" fillId="0" borderId="0" xfId="0" applyNumberFormat="1" applyFont="1" applyProtection="1">
      <protection locked="0"/>
    </xf>
    <xf numFmtId="165" fontId="1" fillId="0" borderId="5" xfId="0" applyNumberFormat="1" applyFont="1" applyBorder="1"/>
    <xf numFmtId="0" fontId="1" fillId="0" borderId="0" xfId="0" applyFont="1" applyAlignment="1">
      <alignment wrapText="1"/>
    </xf>
    <xf numFmtId="165" fontId="3" fillId="0" borderId="0" xfId="0" applyNumberFormat="1" applyFont="1"/>
    <xf numFmtId="0" fontId="7" fillId="3" borderId="0" xfId="0" applyFont="1" applyFill="1" applyAlignment="1">
      <alignment vertical="top" wrapText="1"/>
    </xf>
    <xf numFmtId="0" fontId="1" fillId="4" borderId="1" xfId="0" applyFont="1" applyFill="1" applyBorder="1"/>
    <xf numFmtId="0" fontId="1" fillId="0" borderId="1" xfId="0" applyFont="1" applyBorder="1"/>
    <xf numFmtId="0" fontId="1" fillId="4" borderId="2" xfId="0" applyFont="1" applyFill="1" applyBorder="1"/>
    <xf numFmtId="0" fontId="1" fillId="0" borderId="2" xfId="0" applyFont="1" applyBorder="1"/>
    <xf numFmtId="0" fontId="1" fillId="4" borderId="3" xfId="0" applyFont="1" applyFill="1" applyBorder="1"/>
    <xf numFmtId="0" fontId="2" fillId="5" borderId="2" xfId="0" applyFont="1" applyFill="1" applyBorder="1"/>
    <xf numFmtId="0" fontId="11" fillId="0" borderId="0" xfId="0" applyFont="1" applyAlignment="1">
      <alignment vertical="center"/>
    </xf>
    <xf numFmtId="0" fontId="4" fillId="3" borderId="0" xfId="0" applyFont="1" applyFill="1" applyAlignment="1">
      <alignment horizontal="left" vertical="center" wrapText="1"/>
    </xf>
    <xf numFmtId="0" fontId="8" fillId="3" borderId="0" xfId="0" applyFont="1" applyFill="1" applyAlignment="1">
      <alignment horizontal="left" vertical="center" wrapText="1"/>
    </xf>
    <xf numFmtId="0" fontId="1" fillId="0" borderId="0" xfId="0" applyFont="1" applyAlignment="1">
      <alignment horizontal="left" vertical="center" wrapText="1"/>
    </xf>
    <xf numFmtId="0" fontId="7" fillId="3" borderId="0" xfId="0" applyFont="1" applyFill="1" applyAlignment="1">
      <alignment horizontal="left" vertical="top" wrapText="1"/>
    </xf>
    <xf numFmtId="0" fontId="7" fillId="3" borderId="0" xfId="0" applyFont="1" applyFill="1" applyAlignment="1">
      <alignment horizontal="left" vertical="center" wrapText="1"/>
    </xf>
    <xf numFmtId="0" fontId="1" fillId="0" borderId="0" xfId="0" applyFont="1" applyAlignment="1">
      <alignment horizontal="center" vertical="center" wrapText="1"/>
    </xf>
  </cellXfs>
  <cellStyles count="1">
    <cellStyle name="Normaali" xfId="0" builtinId="0"/>
  </cellStyles>
  <dxfs count="42">
    <dxf>
      <font>
        <color theme="0"/>
      </font>
    </dxf>
    <dxf>
      <font>
        <color theme="0"/>
      </font>
    </dxf>
    <dxf>
      <fill>
        <patternFill>
          <bgColor theme="0" tint="-4.9989318521683403E-2"/>
        </patternFill>
      </fill>
      <border>
        <left style="thin">
          <color theme="0" tint="-0.34998626667073579"/>
        </left>
        <right style="thin">
          <color theme="0" tint="-0.34998626667073579"/>
        </right>
        <top style="thin">
          <color theme="0" tint="-0.34998626667073579"/>
        </top>
        <bottom style="thin">
          <color theme="0" tint="-0.34998626667073579"/>
        </bottom>
      </border>
    </dxf>
    <dxf>
      <fill>
        <patternFill>
          <bgColor theme="0" tint="-4.9989318521683403E-2"/>
        </patternFill>
      </fill>
      <border>
        <left style="thin">
          <color theme="0" tint="-0.34998626667073579"/>
        </left>
        <right style="thin">
          <color theme="0" tint="-0.34998626667073579"/>
        </right>
        <top style="thin">
          <color theme="0" tint="-0.34998626667073579"/>
        </top>
        <bottom style="thin">
          <color theme="0" tint="-0.34998626667073579"/>
        </bottom>
      </border>
    </dxf>
    <dxf>
      <font>
        <color theme="0"/>
      </font>
    </dxf>
    <dxf>
      <font>
        <b/>
        <i val="0"/>
        <color theme="5" tint="-0.499984740745262"/>
      </font>
      <fill>
        <patternFill>
          <bgColor theme="6"/>
        </patternFill>
      </fill>
    </dxf>
    <dxf>
      <border>
        <left style="thin">
          <color auto="1"/>
        </left>
        <right style="thin">
          <color auto="1"/>
        </right>
        <top style="thin">
          <color auto="1"/>
        </top>
        <bottom style="thin">
          <color auto="1"/>
        </bottom>
        <vertical/>
        <horizontal/>
      </border>
    </dxf>
    <dxf>
      <font>
        <color theme="0"/>
      </font>
      <fill>
        <patternFill patternType="none">
          <bgColor auto="1"/>
        </patternFill>
      </fill>
      <border>
        <left/>
        <right/>
        <top/>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font>
        <color theme="0"/>
      </font>
      <fill>
        <patternFill patternType="none">
          <bgColor auto="1"/>
        </patternFill>
      </fill>
      <border>
        <left/>
        <right/>
        <top/>
        <bottom/>
        <vertical/>
        <horizontal/>
      </border>
    </dxf>
    <dxf>
      <border>
        <left style="thin">
          <color auto="1"/>
        </left>
        <right style="thin">
          <color auto="1"/>
        </right>
        <top style="thin">
          <color auto="1"/>
        </top>
        <bottom style="thin">
          <color auto="1"/>
        </bottom>
        <vertical/>
        <horizontal/>
      </border>
    </dxf>
    <dxf>
      <font>
        <color theme="0"/>
      </font>
      <fill>
        <patternFill patternType="none">
          <bgColor auto="1"/>
        </patternFill>
      </fill>
      <border>
        <left/>
        <right/>
        <top/>
        <bottom/>
        <vertical/>
        <horizontal/>
      </border>
    </dxf>
    <dxf>
      <font>
        <color theme="0"/>
      </font>
      <fill>
        <patternFill patternType="none">
          <bgColor auto="1"/>
        </patternFill>
      </fill>
      <border>
        <left/>
        <right/>
        <top/>
        <bottom/>
        <vertical/>
        <horizontal/>
      </border>
    </dxf>
    <dxf>
      <font>
        <color theme="0"/>
      </font>
    </dxf>
    <dxf>
      <border>
        <bottom style="thin">
          <color auto="1"/>
        </bottom>
        <vertical/>
        <horizontal/>
      </border>
    </dxf>
    <dxf>
      <font>
        <color theme="0"/>
      </font>
    </dxf>
    <dxf>
      <border>
        <bottom style="thin">
          <color auto="1"/>
        </bottom>
        <vertical/>
        <horizontal/>
      </border>
    </dxf>
    <dxf>
      <font>
        <color theme="0"/>
      </font>
    </dxf>
    <dxf>
      <fill>
        <patternFill>
          <bgColor theme="3" tint="0.59996337778862885"/>
        </patternFill>
      </fill>
    </dxf>
    <dxf>
      <fill>
        <patternFill>
          <bgColor theme="3" tint="0.59996337778862885"/>
        </patternFill>
      </fill>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bgColor theme="3" tint="0.59996337778862885"/>
        </patternFill>
      </fill>
    </dxf>
    <dxf>
      <fill>
        <patternFill>
          <bgColor theme="3" tint="0.59996337778862885"/>
        </patternFill>
      </fill>
    </dxf>
    <dxf>
      <fill>
        <patternFill>
          <bgColor theme="3" tint="0.79998168889431442"/>
        </patternFill>
      </fill>
    </dxf>
    <dxf>
      <fill>
        <patternFill>
          <bgColor theme="3" tint="0.79998168889431442"/>
        </patternFill>
      </fill>
    </dxf>
    <dxf>
      <border>
        <left style="thin">
          <color auto="1"/>
        </left>
        <right style="thin">
          <color auto="1"/>
        </right>
        <top style="thin">
          <color auto="1"/>
        </top>
        <bottom style="thin">
          <color auto="1"/>
        </bottom>
        <vertical/>
        <horizontal/>
      </border>
    </dxf>
    <dxf>
      <font>
        <color theme="0"/>
      </font>
    </dxf>
    <dxf>
      <font>
        <color theme="0"/>
      </font>
    </dxf>
    <dxf>
      <border>
        <left style="thin">
          <color auto="1"/>
        </left>
        <right style="thin">
          <color auto="1"/>
        </right>
        <top style="thin">
          <color auto="1"/>
        </top>
        <bottom style="thin">
          <color auto="1"/>
        </bottom>
        <vertical/>
        <horizontal/>
      </border>
    </dxf>
    <dxf>
      <border>
        <left/>
        <right/>
        <top/>
        <bottom/>
        <vertical/>
        <horizontal/>
      </border>
    </dxf>
    <dxf>
      <border>
        <left/>
        <right/>
        <top style="thin">
          <color auto="1"/>
        </top>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color theme="0"/>
      </font>
    </dxf>
    <dxf>
      <border>
        <left style="thin">
          <color auto="1"/>
        </left>
        <right style="thin">
          <color auto="1"/>
        </right>
        <top style="thin">
          <color auto="1"/>
        </top>
        <bottom style="thin">
          <color auto="1"/>
        </bottom>
        <vertical/>
        <horizontal/>
      </border>
    </dxf>
    <dxf>
      <border>
        <left/>
        <right/>
        <top/>
        <bottom/>
        <vertical/>
        <horizontal/>
      </border>
    </dxf>
    <dxf>
      <border>
        <left/>
        <right/>
        <top style="thin">
          <color auto="1"/>
        </top>
        <bottom/>
        <vertical/>
        <horizontal/>
      </border>
    </dxf>
    <dxf>
      <border>
        <left style="thin">
          <color auto="1"/>
        </left>
        <right style="thin">
          <color auto="1"/>
        </right>
        <top style="thin">
          <color auto="1"/>
        </top>
        <bottom style="thin">
          <color auto="1"/>
        </bottom>
        <vertical/>
        <horizontal/>
      </border>
    </dxf>
    <dxf>
      <font>
        <color theme="0"/>
      </font>
      <numFmt numFmtId="30" formatCode="@"/>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1498600</xdr:colOff>
      <xdr:row>77</xdr:row>
      <xdr:rowOff>158750</xdr:rowOff>
    </xdr:from>
    <xdr:to>
      <xdr:col>8</xdr:col>
      <xdr:colOff>677333</xdr:colOff>
      <xdr:row>88</xdr:row>
      <xdr:rowOff>184151</xdr:rowOff>
    </xdr:to>
    <xdr:sp macro="" textlink="">
      <xdr:nvSpPr>
        <xdr:cNvPr id="2" name="Ellipsi 1">
          <a:extLst>
            <a:ext uri="{FF2B5EF4-FFF2-40B4-BE49-F238E27FC236}">
              <a16:creationId xmlns:a16="http://schemas.microsoft.com/office/drawing/2014/main" id="{F5E41A56-F4C1-D40F-DA99-6FA5D6B88A88}"/>
            </a:ext>
          </a:extLst>
        </xdr:cNvPr>
        <xdr:cNvSpPr/>
      </xdr:nvSpPr>
      <xdr:spPr>
        <a:xfrm>
          <a:off x="9256183" y="19991917"/>
          <a:ext cx="4406900" cy="2237317"/>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Once you've</a:t>
          </a:r>
          <a:r>
            <a:rPr lang="fi-FI" sz="1600" baseline="0">
              <a:solidFill>
                <a:schemeClr val="bg2">
                  <a:lumMod val="50000"/>
                </a:schemeClr>
              </a:solidFill>
            </a:rPr>
            <a:t> input all of the costs that apply to you, you can move on to the "Time management"-tab.</a:t>
          </a:r>
          <a:endParaRPr lang="fi-FI" sz="1800">
            <a:solidFill>
              <a:schemeClr val="bg2">
                <a:lumMod val="50000"/>
              </a:schemeClr>
            </a:solidFill>
          </a:endParaRPr>
        </a:p>
      </xdr:txBody>
    </xdr:sp>
    <xdr:clientData/>
  </xdr:twoCellAnchor>
  <xdr:twoCellAnchor>
    <xdr:from>
      <xdr:col>4</xdr:col>
      <xdr:colOff>2326220</xdr:colOff>
      <xdr:row>59</xdr:row>
      <xdr:rowOff>124883</xdr:rowOff>
    </xdr:from>
    <xdr:to>
      <xdr:col>7</xdr:col>
      <xdr:colOff>643467</xdr:colOff>
      <xdr:row>71</xdr:row>
      <xdr:rowOff>12700</xdr:rowOff>
    </xdr:to>
    <xdr:sp macro="" textlink="F66">
      <xdr:nvSpPr>
        <xdr:cNvPr id="8" name="Ellipsi 7">
          <a:extLst>
            <a:ext uri="{FF2B5EF4-FFF2-40B4-BE49-F238E27FC236}">
              <a16:creationId xmlns:a16="http://schemas.microsoft.com/office/drawing/2014/main" id="{9209FA25-4779-AD46-AB78-A735236C53B6}"/>
            </a:ext>
          </a:extLst>
        </xdr:cNvPr>
        <xdr:cNvSpPr/>
      </xdr:nvSpPr>
      <xdr:spPr>
        <a:xfrm>
          <a:off x="10098620" y="16482483"/>
          <a:ext cx="2719914" cy="2326217"/>
        </a:xfrm>
        <a:prstGeom prst="ellipse">
          <a:avLst/>
        </a:prstGeom>
      </xdr:spPr>
      <xdr:style>
        <a:lnRef idx="3">
          <a:schemeClr val="lt1"/>
        </a:lnRef>
        <a:fillRef idx="1">
          <a:schemeClr val="accent4"/>
        </a:fillRef>
        <a:effectRef idx="1">
          <a:schemeClr val="accent4"/>
        </a:effectRef>
        <a:fontRef idx="minor">
          <a:schemeClr val="lt1"/>
        </a:fontRef>
      </xdr:style>
      <xdr:txBody>
        <a:bodyPr vertOverflow="clip" horzOverflow="clip" rtlCol="0" anchor="ctr"/>
        <a:lstStyle/>
        <a:p>
          <a:pPr algn="ctr"/>
          <a:fld id="{1482AB49-77C1-924A-A6D2-85D1918A107C}" type="TxLink">
            <a:rPr lang="en-US" sz="1400" b="0" i="0" u="none" strike="noStrike">
              <a:solidFill>
                <a:srgbClr val="232727"/>
              </a:solidFill>
              <a:latin typeface="Aptos Narrow"/>
            </a:rPr>
            <a:pPr algn="ctr"/>
            <a:t>Total expenses entered: 0,00 €</a:t>
          </a:fld>
          <a:endParaRPr lang="fi-FI" sz="1800">
            <a:solidFill>
              <a:schemeClr val="bg2">
                <a:lumMod val="50000"/>
              </a:schemeClr>
            </a:solidFill>
          </a:endParaRPr>
        </a:p>
      </xdr:txBody>
    </xdr:sp>
    <xdr:clientData/>
  </xdr:twoCellAnchor>
  <xdr:twoCellAnchor>
    <xdr:from>
      <xdr:col>4</xdr:col>
      <xdr:colOff>0</xdr:colOff>
      <xdr:row>4</xdr:row>
      <xdr:rowOff>0</xdr:rowOff>
    </xdr:from>
    <xdr:to>
      <xdr:col>6</xdr:col>
      <xdr:colOff>0</xdr:colOff>
      <xdr:row>9</xdr:row>
      <xdr:rowOff>0</xdr:rowOff>
    </xdr:to>
    <xdr:sp macro="" textlink="">
      <xdr:nvSpPr>
        <xdr:cNvPr id="7" name="Kuvatekstipilvi 6">
          <a:extLst>
            <a:ext uri="{FF2B5EF4-FFF2-40B4-BE49-F238E27FC236}">
              <a16:creationId xmlns:a16="http://schemas.microsoft.com/office/drawing/2014/main" id="{99C0BDF1-E891-7311-A902-B7F24DBD406D}"/>
            </a:ext>
          </a:extLst>
        </xdr:cNvPr>
        <xdr:cNvSpPr/>
      </xdr:nvSpPr>
      <xdr:spPr>
        <a:xfrm>
          <a:off x="7545917" y="2984500"/>
          <a:ext cx="3577166" cy="1926167"/>
        </a:xfrm>
        <a:prstGeom prst="cloudCallout">
          <a:avLst>
            <a:gd name="adj1" fmla="val -82040"/>
            <a:gd name="adj2" fmla="val -58300"/>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100">
              <a:solidFill>
                <a:schemeClr val="bg2">
                  <a:lumMod val="50000"/>
                </a:schemeClr>
              </a:solidFill>
            </a:rPr>
            <a:t>The drop-down menus shown on a</a:t>
          </a:r>
          <a:r>
            <a:rPr lang="fi-FI" sz="1100" baseline="0">
              <a:solidFill>
                <a:schemeClr val="bg2">
                  <a:lumMod val="50000"/>
                </a:schemeClr>
              </a:solidFill>
            </a:rPr>
            <a:t> darker background open when you click the cell, and the arrow that appears on the right side of the cell. There you can choose the correct option by clicking it.</a:t>
          </a:r>
        </a:p>
      </xdr:txBody>
    </xdr:sp>
    <xdr:clientData/>
  </xdr:twoCellAnchor>
  <xdr:twoCellAnchor>
    <xdr:from>
      <xdr:col>6</xdr:col>
      <xdr:colOff>603250</xdr:colOff>
      <xdr:row>27</xdr:row>
      <xdr:rowOff>127000</xdr:rowOff>
    </xdr:from>
    <xdr:to>
      <xdr:col>12</xdr:col>
      <xdr:colOff>57150</xdr:colOff>
      <xdr:row>37</xdr:row>
      <xdr:rowOff>120651</xdr:rowOff>
    </xdr:to>
    <xdr:sp macro="" textlink="">
      <xdr:nvSpPr>
        <xdr:cNvPr id="6" name="Ellipsi 5">
          <a:extLst>
            <a:ext uri="{FF2B5EF4-FFF2-40B4-BE49-F238E27FC236}">
              <a16:creationId xmlns:a16="http://schemas.microsoft.com/office/drawing/2014/main" id="{358BC8EC-21A5-C340-9929-37FFDB72251A}"/>
            </a:ext>
          </a:extLst>
        </xdr:cNvPr>
        <xdr:cNvSpPr/>
      </xdr:nvSpPr>
      <xdr:spPr>
        <a:xfrm>
          <a:off x="11938000" y="9673167"/>
          <a:ext cx="4406900" cy="2237317"/>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If you input</a:t>
          </a:r>
          <a:r>
            <a:rPr lang="fi-FI" sz="1600" baseline="0">
              <a:solidFill>
                <a:schemeClr val="bg2">
                  <a:lumMod val="50000"/>
                </a:schemeClr>
              </a:solidFill>
            </a:rPr>
            <a:t> materials costs as one lump sum, the costs will be divided equally between all products.</a:t>
          </a:r>
          <a:endParaRPr lang="fi-FI" sz="1800">
            <a:solidFill>
              <a:schemeClr val="bg2">
                <a:lumMod val="50000"/>
              </a:schemeClr>
            </a:solidFill>
          </a:endParaRPr>
        </a:p>
      </xdr:txBody>
    </xdr:sp>
    <xdr:clientData/>
  </xdr:twoCellAnchor>
  <xdr:twoCellAnchor>
    <xdr:from>
      <xdr:col>2</xdr:col>
      <xdr:colOff>1473200</xdr:colOff>
      <xdr:row>0</xdr:row>
      <xdr:rowOff>0</xdr:rowOff>
    </xdr:from>
    <xdr:to>
      <xdr:col>6</xdr:col>
      <xdr:colOff>566426</xdr:colOff>
      <xdr:row>0</xdr:row>
      <xdr:rowOff>1280854</xdr:rowOff>
    </xdr:to>
    <xdr:grpSp>
      <xdr:nvGrpSpPr>
        <xdr:cNvPr id="9" name="Ryhmä 8">
          <a:extLst>
            <a:ext uri="{FF2B5EF4-FFF2-40B4-BE49-F238E27FC236}">
              <a16:creationId xmlns:a16="http://schemas.microsoft.com/office/drawing/2014/main" id="{ECAA7CFA-F58D-E444-A4EF-6F2AC8740FD8}"/>
            </a:ext>
          </a:extLst>
        </xdr:cNvPr>
        <xdr:cNvGrpSpPr/>
      </xdr:nvGrpSpPr>
      <xdr:grpSpPr>
        <a:xfrm>
          <a:off x="4787900" y="0"/>
          <a:ext cx="7106926" cy="1280854"/>
          <a:chOff x="2547381" y="43419"/>
          <a:chExt cx="7106926" cy="1280854"/>
        </a:xfrm>
      </xdr:grpSpPr>
      <xdr:pic>
        <xdr:nvPicPr>
          <xdr:cNvPr id="10" name="Kuva 9">
            <a:extLst>
              <a:ext uri="{FF2B5EF4-FFF2-40B4-BE49-F238E27FC236}">
                <a16:creationId xmlns:a16="http://schemas.microsoft.com/office/drawing/2014/main" id="{BFB6B05C-FE66-AF91-B83E-07B53A94AF08}"/>
              </a:ext>
            </a:extLst>
          </xdr:cNvPr>
          <xdr:cNvPicPr>
            <a:picLocks noChangeAspect="1"/>
          </xdr:cNvPicPr>
        </xdr:nvPicPr>
        <xdr:blipFill>
          <a:blip xmlns:r="http://schemas.openxmlformats.org/officeDocument/2006/relationships" r:embed="rId1"/>
          <a:stretch>
            <a:fillRect/>
          </a:stretch>
        </xdr:blipFill>
        <xdr:spPr>
          <a:xfrm>
            <a:off x="2547381" y="221192"/>
            <a:ext cx="1315369" cy="889000"/>
          </a:xfrm>
          <a:prstGeom prst="rect">
            <a:avLst/>
          </a:prstGeom>
        </xdr:spPr>
      </xdr:pic>
      <xdr:pic>
        <xdr:nvPicPr>
          <xdr:cNvPr id="11" name="Kuva 10">
            <a:extLst>
              <a:ext uri="{FF2B5EF4-FFF2-40B4-BE49-F238E27FC236}">
                <a16:creationId xmlns:a16="http://schemas.microsoft.com/office/drawing/2014/main" id="{5F3D520E-70D0-DDBD-F74A-CBCD865D8C70}"/>
              </a:ext>
            </a:extLst>
          </xdr:cNvPr>
          <xdr:cNvPicPr>
            <a:picLocks noChangeAspect="1"/>
          </xdr:cNvPicPr>
        </xdr:nvPicPr>
        <xdr:blipFill>
          <a:blip xmlns:r="http://schemas.openxmlformats.org/officeDocument/2006/relationships" r:embed="rId2"/>
          <a:stretch>
            <a:fillRect/>
          </a:stretch>
        </xdr:blipFill>
        <xdr:spPr>
          <a:xfrm>
            <a:off x="4678377" y="43419"/>
            <a:ext cx="4975930" cy="1280854"/>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593309</xdr:colOff>
      <xdr:row>35</xdr:row>
      <xdr:rowOff>97879</xdr:rowOff>
    </xdr:from>
    <xdr:to>
      <xdr:col>11</xdr:col>
      <xdr:colOff>0</xdr:colOff>
      <xdr:row>46</xdr:row>
      <xdr:rowOff>205252</xdr:rowOff>
    </xdr:to>
    <xdr:sp macro="" textlink="">
      <xdr:nvSpPr>
        <xdr:cNvPr id="7" name="Ellipsi 6">
          <a:extLst>
            <a:ext uri="{FF2B5EF4-FFF2-40B4-BE49-F238E27FC236}">
              <a16:creationId xmlns:a16="http://schemas.microsoft.com/office/drawing/2014/main" id="{50A86E10-05B4-3948-BDF8-15BA791F1CC2}"/>
            </a:ext>
          </a:extLst>
        </xdr:cNvPr>
        <xdr:cNvSpPr/>
      </xdr:nvSpPr>
      <xdr:spPr>
        <a:xfrm>
          <a:off x="9278056" y="10116768"/>
          <a:ext cx="3819621" cy="2390807"/>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Once you've filled</a:t>
          </a:r>
          <a:r>
            <a:rPr lang="fi-FI" sz="1600" baseline="0">
              <a:solidFill>
                <a:schemeClr val="bg2">
                  <a:lumMod val="50000"/>
                </a:schemeClr>
              </a:solidFill>
            </a:rPr>
            <a:t> everythin in, you can move on to the "sales and profit goal"-tab to plan sales!</a:t>
          </a:r>
          <a:endParaRPr lang="fi-FI" sz="1800">
            <a:solidFill>
              <a:schemeClr val="bg2">
                <a:lumMod val="50000"/>
              </a:schemeClr>
            </a:solidFill>
          </a:endParaRPr>
        </a:p>
      </xdr:txBody>
    </xdr:sp>
    <xdr:clientData/>
  </xdr:twoCellAnchor>
  <xdr:twoCellAnchor>
    <xdr:from>
      <xdr:col>8</xdr:col>
      <xdr:colOff>641415</xdr:colOff>
      <xdr:row>46</xdr:row>
      <xdr:rowOff>8081</xdr:rowOff>
    </xdr:from>
    <xdr:to>
      <xdr:col>13</xdr:col>
      <xdr:colOff>641414</xdr:colOff>
      <xdr:row>58</xdr:row>
      <xdr:rowOff>25656</xdr:rowOff>
    </xdr:to>
    <xdr:sp macro="" textlink="">
      <xdr:nvSpPr>
        <xdr:cNvPr id="2" name="Ellipsi 1">
          <a:extLst>
            <a:ext uri="{FF2B5EF4-FFF2-40B4-BE49-F238E27FC236}">
              <a16:creationId xmlns:a16="http://schemas.microsoft.com/office/drawing/2014/main" id="{7FC00C87-1000-6741-841C-CC16968BCFFC}"/>
            </a:ext>
          </a:extLst>
        </xdr:cNvPr>
        <xdr:cNvSpPr/>
      </xdr:nvSpPr>
      <xdr:spPr>
        <a:xfrm>
          <a:off x="11276061" y="12746566"/>
          <a:ext cx="4105050" cy="2480605"/>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en-US" sz="1600">
              <a:solidFill>
                <a:schemeClr val="bg2">
                  <a:lumMod val="50000"/>
                </a:schemeClr>
              </a:solidFill>
            </a:rPr>
            <a:t>On the next tab you can see how many units you</a:t>
          </a:r>
          <a:r>
            <a:rPr lang="en-US" sz="1600" baseline="0">
              <a:solidFill>
                <a:schemeClr val="bg2">
                  <a:lumMod val="50000"/>
                </a:schemeClr>
              </a:solidFill>
            </a:rPr>
            <a:t> have the time to produce.</a:t>
          </a:r>
          <a:endParaRPr lang="en-US" sz="1200"/>
        </a:p>
      </xdr:txBody>
    </xdr:sp>
    <xdr:clientData/>
  </xdr:twoCellAnchor>
  <xdr:twoCellAnchor>
    <xdr:from>
      <xdr:col>2</xdr:col>
      <xdr:colOff>115455</xdr:colOff>
      <xdr:row>0</xdr:row>
      <xdr:rowOff>0</xdr:rowOff>
    </xdr:from>
    <xdr:to>
      <xdr:col>9</xdr:col>
      <xdr:colOff>551673</xdr:colOff>
      <xdr:row>0</xdr:row>
      <xdr:rowOff>1280854</xdr:rowOff>
    </xdr:to>
    <xdr:grpSp>
      <xdr:nvGrpSpPr>
        <xdr:cNvPr id="3" name="Ryhmä 2">
          <a:extLst>
            <a:ext uri="{FF2B5EF4-FFF2-40B4-BE49-F238E27FC236}">
              <a16:creationId xmlns:a16="http://schemas.microsoft.com/office/drawing/2014/main" id="{27B8CF8C-8FA0-104C-8934-99D1D9CD31DF}"/>
            </a:ext>
          </a:extLst>
        </xdr:cNvPr>
        <xdr:cNvGrpSpPr/>
      </xdr:nvGrpSpPr>
      <xdr:grpSpPr>
        <a:xfrm>
          <a:off x="4900404" y="0"/>
          <a:ext cx="7106926" cy="1280854"/>
          <a:chOff x="2547381" y="43419"/>
          <a:chExt cx="7106926" cy="1280854"/>
        </a:xfrm>
      </xdr:grpSpPr>
      <xdr:pic>
        <xdr:nvPicPr>
          <xdr:cNvPr id="4" name="Kuva 3">
            <a:extLst>
              <a:ext uri="{FF2B5EF4-FFF2-40B4-BE49-F238E27FC236}">
                <a16:creationId xmlns:a16="http://schemas.microsoft.com/office/drawing/2014/main" id="{69D80AD2-A71A-629D-D73E-2774E2976C53}"/>
              </a:ext>
            </a:extLst>
          </xdr:cNvPr>
          <xdr:cNvPicPr>
            <a:picLocks noChangeAspect="1"/>
          </xdr:cNvPicPr>
        </xdr:nvPicPr>
        <xdr:blipFill>
          <a:blip xmlns:r="http://schemas.openxmlformats.org/officeDocument/2006/relationships" r:embed="rId1"/>
          <a:stretch>
            <a:fillRect/>
          </a:stretch>
        </xdr:blipFill>
        <xdr:spPr>
          <a:xfrm>
            <a:off x="2547381" y="221192"/>
            <a:ext cx="1315369" cy="889000"/>
          </a:xfrm>
          <a:prstGeom prst="rect">
            <a:avLst/>
          </a:prstGeom>
        </xdr:spPr>
      </xdr:pic>
      <xdr:pic>
        <xdr:nvPicPr>
          <xdr:cNvPr id="5" name="Kuva 4">
            <a:extLst>
              <a:ext uri="{FF2B5EF4-FFF2-40B4-BE49-F238E27FC236}">
                <a16:creationId xmlns:a16="http://schemas.microsoft.com/office/drawing/2014/main" id="{F982AAF9-7BB7-6DFB-21B7-C5F623A10F78}"/>
              </a:ext>
            </a:extLst>
          </xdr:cNvPr>
          <xdr:cNvPicPr>
            <a:picLocks noChangeAspect="1"/>
          </xdr:cNvPicPr>
        </xdr:nvPicPr>
        <xdr:blipFill>
          <a:blip xmlns:r="http://schemas.openxmlformats.org/officeDocument/2006/relationships" r:embed="rId2"/>
          <a:stretch>
            <a:fillRect/>
          </a:stretch>
        </xdr:blipFill>
        <xdr:spPr>
          <a:xfrm>
            <a:off x="4678377" y="43419"/>
            <a:ext cx="4975930" cy="1280854"/>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283712</xdr:colOff>
      <xdr:row>5</xdr:row>
      <xdr:rowOff>117446</xdr:rowOff>
    </xdr:from>
    <xdr:to>
      <xdr:col>11</xdr:col>
      <xdr:colOff>283711</xdr:colOff>
      <xdr:row>15</xdr:row>
      <xdr:rowOff>155546</xdr:rowOff>
    </xdr:to>
    <xdr:sp macro="" textlink="">
      <xdr:nvSpPr>
        <xdr:cNvPr id="2" name="Ellipsi 1">
          <a:extLst>
            <a:ext uri="{FF2B5EF4-FFF2-40B4-BE49-F238E27FC236}">
              <a16:creationId xmlns:a16="http://schemas.microsoft.com/office/drawing/2014/main" id="{3404703B-0E5F-0F4B-8C4D-A8C0B435C21C}"/>
            </a:ext>
          </a:extLst>
        </xdr:cNvPr>
        <xdr:cNvSpPr/>
      </xdr:nvSpPr>
      <xdr:spPr>
        <a:xfrm>
          <a:off x="9127106" y="3298272"/>
          <a:ext cx="4136238" cy="2018834"/>
        </a:xfrm>
        <a:prstGeom prst="ellipse">
          <a:avLst/>
        </a:prstGeom>
      </xdr:spPr>
      <xdr:style>
        <a:lnRef idx="3">
          <a:schemeClr val="lt1"/>
        </a:lnRef>
        <a:fillRef idx="1">
          <a:schemeClr val="accent3"/>
        </a:fillRef>
        <a:effectRef idx="1">
          <a:schemeClr val="accent3"/>
        </a:effectRef>
        <a:fontRef idx="minor">
          <a:schemeClr val="lt1"/>
        </a:fontRef>
      </xdr:style>
      <xdr:txBody>
        <a:bodyPr vertOverflow="clip" horzOverflow="clip" rtlCol="0" anchor="ctr"/>
        <a:lstStyle/>
        <a:p>
          <a:pPr algn="ctr"/>
          <a:r>
            <a:rPr lang="fi-FI" sz="1600">
              <a:solidFill>
                <a:schemeClr val="bg2">
                  <a:lumMod val="50000"/>
                </a:schemeClr>
              </a:solidFill>
            </a:rPr>
            <a:t>Once you've filled</a:t>
          </a:r>
          <a:r>
            <a:rPr lang="fi-FI" sz="1600" baseline="0">
              <a:solidFill>
                <a:schemeClr val="bg2">
                  <a:lumMod val="50000"/>
                </a:schemeClr>
              </a:solidFill>
            </a:rPr>
            <a:t> everythin in, you can move on to the "Prices"-tab to see price calculations.</a:t>
          </a:r>
        </a:p>
      </xdr:txBody>
    </xdr:sp>
    <xdr:clientData/>
  </xdr:twoCellAnchor>
  <xdr:twoCellAnchor>
    <xdr:from>
      <xdr:col>6</xdr:col>
      <xdr:colOff>382188</xdr:colOff>
      <xdr:row>30</xdr:row>
      <xdr:rowOff>176417</xdr:rowOff>
    </xdr:from>
    <xdr:to>
      <xdr:col>10</xdr:col>
      <xdr:colOff>432987</xdr:colOff>
      <xdr:row>40</xdr:row>
      <xdr:rowOff>163717</xdr:rowOff>
    </xdr:to>
    <xdr:sp macro="" textlink="$H$35">
      <xdr:nvSpPr>
        <xdr:cNvPr id="3" name="Ellipsi 2">
          <a:extLst>
            <a:ext uri="{FF2B5EF4-FFF2-40B4-BE49-F238E27FC236}">
              <a16:creationId xmlns:a16="http://schemas.microsoft.com/office/drawing/2014/main" id="{FD252B2A-E06A-3FA4-4514-31A41E3BA642}"/>
            </a:ext>
          </a:extLst>
        </xdr:cNvPr>
        <xdr:cNvSpPr/>
      </xdr:nvSpPr>
      <xdr:spPr>
        <a:xfrm>
          <a:off x="9240830" y="8878269"/>
          <a:ext cx="3374750" cy="2025571"/>
        </a:xfrm>
        <a:prstGeom prst="ellipse">
          <a:avLst/>
        </a:prstGeom>
      </xdr:spPr>
      <xdr:style>
        <a:lnRef idx="3">
          <a:schemeClr val="lt1"/>
        </a:lnRef>
        <a:fillRef idx="1">
          <a:schemeClr val="accent6"/>
        </a:fillRef>
        <a:effectRef idx="1">
          <a:schemeClr val="accent6"/>
        </a:effectRef>
        <a:fontRef idx="minor">
          <a:schemeClr val="lt1"/>
        </a:fontRef>
      </xdr:style>
      <xdr:txBody>
        <a:bodyPr vertOverflow="clip" horzOverflow="clip" rtlCol="0" anchor="ctr"/>
        <a:lstStyle/>
        <a:p>
          <a:pPr algn="ctr"/>
          <a:fld id="{43A71223-EFB5-A449-AE84-7B7FCE608CD5}" type="TxLink">
            <a:rPr lang="en-US" sz="1600" b="1" i="0" u="none" strike="noStrike">
              <a:solidFill>
                <a:srgbClr val="232727"/>
              </a:solidFill>
              <a:latin typeface="Aptos Narrow"/>
            </a:rPr>
            <a:pPr algn="ctr"/>
            <a:t>Remember to fill in the profit goal!</a:t>
          </a:fld>
          <a:endParaRPr lang="fi-FI" sz="1400" b="1"/>
        </a:p>
      </xdr:txBody>
    </xdr:sp>
    <xdr:clientData/>
  </xdr:twoCellAnchor>
  <xdr:twoCellAnchor>
    <xdr:from>
      <xdr:col>8</xdr:col>
      <xdr:colOff>667792</xdr:colOff>
      <xdr:row>18</xdr:row>
      <xdr:rowOff>26036</xdr:rowOff>
    </xdr:from>
    <xdr:to>
      <xdr:col>12</xdr:col>
      <xdr:colOff>722332</xdr:colOff>
      <xdr:row>28</xdr:row>
      <xdr:rowOff>18462</xdr:rowOff>
    </xdr:to>
    <xdr:sp macro="" textlink="$K$23">
      <xdr:nvSpPr>
        <xdr:cNvPr id="10" name="Kuvatekstisoikio 9">
          <a:extLst>
            <a:ext uri="{FF2B5EF4-FFF2-40B4-BE49-F238E27FC236}">
              <a16:creationId xmlns:a16="http://schemas.microsoft.com/office/drawing/2014/main" id="{18A59A17-9F22-F241-9D65-8723D2C2E4B6}"/>
            </a:ext>
          </a:extLst>
        </xdr:cNvPr>
        <xdr:cNvSpPr/>
      </xdr:nvSpPr>
      <xdr:spPr>
        <a:xfrm>
          <a:off x="11188409" y="6281962"/>
          <a:ext cx="3378491" cy="2030698"/>
        </a:xfrm>
        <a:prstGeom prst="wedgeEllipseCallout">
          <a:avLst/>
        </a:prstGeom>
      </xdr:spPr>
      <xdr:style>
        <a:lnRef idx="3">
          <a:schemeClr val="lt1"/>
        </a:lnRef>
        <a:fillRef idx="1">
          <a:schemeClr val="accent6"/>
        </a:fillRef>
        <a:effectRef idx="1">
          <a:schemeClr val="accent6"/>
        </a:effectRef>
        <a:fontRef idx="minor">
          <a:schemeClr val="lt1"/>
        </a:fontRef>
      </xdr:style>
      <xdr:txBody>
        <a:bodyPr vertOverflow="clip" horzOverflow="clip" rtlCol="0" anchor="ctr"/>
        <a:lstStyle/>
        <a:p>
          <a:pPr algn="ctr"/>
          <a:fld id="{B6D20421-58A5-3046-B4FF-E00DA65342C9}" type="TxLink">
            <a:rPr lang="en-US" sz="1600" b="1" i="0" u="none" strike="noStrike">
              <a:solidFill>
                <a:srgbClr val="232727"/>
              </a:solidFill>
              <a:latin typeface="Aptos Narrow"/>
            </a:rPr>
            <a:pPr algn="ctr"/>
            <a:t>There seems to be enough time!</a:t>
          </a:fld>
          <a:endParaRPr lang="fi-FI" sz="1800" b="1"/>
        </a:p>
      </xdr:txBody>
    </xdr:sp>
    <xdr:clientData/>
  </xdr:twoCellAnchor>
  <xdr:twoCellAnchor>
    <xdr:from>
      <xdr:col>1</xdr:col>
      <xdr:colOff>3010370</xdr:colOff>
      <xdr:row>0</xdr:row>
      <xdr:rowOff>0</xdr:rowOff>
    </xdr:from>
    <xdr:to>
      <xdr:col>8</xdr:col>
      <xdr:colOff>725568</xdr:colOff>
      <xdr:row>0</xdr:row>
      <xdr:rowOff>1280854</xdr:rowOff>
    </xdr:to>
    <xdr:grpSp>
      <xdr:nvGrpSpPr>
        <xdr:cNvPr id="4" name="Ryhmä 3">
          <a:extLst>
            <a:ext uri="{FF2B5EF4-FFF2-40B4-BE49-F238E27FC236}">
              <a16:creationId xmlns:a16="http://schemas.microsoft.com/office/drawing/2014/main" id="{CDD1D610-5794-B84A-BFFE-82F70645E1E0}"/>
            </a:ext>
          </a:extLst>
        </xdr:cNvPr>
        <xdr:cNvGrpSpPr/>
      </xdr:nvGrpSpPr>
      <xdr:grpSpPr>
        <a:xfrm>
          <a:off x="4136805" y="0"/>
          <a:ext cx="7102154" cy="1280854"/>
          <a:chOff x="2547381" y="43419"/>
          <a:chExt cx="7106926" cy="1280854"/>
        </a:xfrm>
      </xdr:grpSpPr>
      <xdr:pic>
        <xdr:nvPicPr>
          <xdr:cNvPr id="5" name="Kuva 4">
            <a:extLst>
              <a:ext uri="{FF2B5EF4-FFF2-40B4-BE49-F238E27FC236}">
                <a16:creationId xmlns:a16="http://schemas.microsoft.com/office/drawing/2014/main" id="{E9095F8A-3666-E148-9D00-05FD0A69F121}"/>
              </a:ext>
            </a:extLst>
          </xdr:cNvPr>
          <xdr:cNvPicPr>
            <a:picLocks noChangeAspect="1"/>
          </xdr:cNvPicPr>
        </xdr:nvPicPr>
        <xdr:blipFill>
          <a:blip xmlns:r="http://schemas.openxmlformats.org/officeDocument/2006/relationships" r:embed="rId1"/>
          <a:stretch>
            <a:fillRect/>
          </a:stretch>
        </xdr:blipFill>
        <xdr:spPr>
          <a:xfrm>
            <a:off x="2547381" y="221192"/>
            <a:ext cx="1315369" cy="889000"/>
          </a:xfrm>
          <a:prstGeom prst="rect">
            <a:avLst/>
          </a:prstGeom>
        </xdr:spPr>
      </xdr:pic>
      <xdr:pic>
        <xdr:nvPicPr>
          <xdr:cNvPr id="6" name="Kuva 5">
            <a:extLst>
              <a:ext uri="{FF2B5EF4-FFF2-40B4-BE49-F238E27FC236}">
                <a16:creationId xmlns:a16="http://schemas.microsoft.com/office/drawing/2014/main" id="{0FF5B76D-A2B3-EEF2-752B-ED5B23D41AC1}"/>
              </a:ext>
            </a:extLst>
          </xdr:cNvPr>
          <xdr:cNvPicPr>
            <a:picLocks noChangeAspect="1"/>
          </xdr:cNvPicPr>
        </xdr:nvPicPr>
        <xdr:blipFill>
          <a:blip xmlns:r="http://schemas.openxmlformats.org/officeDocument/2006/relationships" r:embed="rId2"/>
          <a:stretch>
            <a:fillRect/>
          </a:stretch>
        </xdr:blipFill>
        <xdr:spPr>
          <a:xfrm>
            <a:off x="4678377" y="43419"/>
            <a:ext cx="4975930" cy="1280854"/>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50800</xdr:colOff>
      <xdr:row>0</xdr:row>
      <xdr:rowOff>43419</xdr:rowOff>
    </xdr:from>
    <xdr:to>
      <xdr:col>5</xdr:col>
      <xdr:colOff>916273</xdr:colOff>
      <xdr:row>0</xdr:row>
      <xdr:rowOff>1324273</xdr:rowOff>
    </xdr:to>
    <xdr:grpSp>
      <xdr:nvGrpSpPr>
        <xdr:cNvPr id="3" name="Ryhmä 2">
          <a:extLst>
            <a:ext uri="{FF2B5EF4-FFF2-40B4-BE49-F238E27FC236}">
              <a16:creationId xmlns:a16="http://schemas.microsoft.com/office/drawing/2014/main" id="{82E513FD-51EE-AC4A-0824-0941EB27F506}"/>
            </a:ext>
          </a:extLst>
        </xdr:cNvPr>
        <xdr:cNvGrpSpPr/>
      </xdr:nvGrpSpPr>
      <xdr:grpSpPr>
        <a:xfrm>
          <a:off x="2547381" y="43419"/>
          <a:ext cx="7106926" cy="1280854"/>
          <a:chOff x="2547381" y="43419"/>
          <a:chExt cx="7106926" cy="1280854"/>
        </a:xfrm>
      </xdr:grpSpPr>
      <xdr:pic>
        <xdr:nvPicPr>
          <xdr:cNvPr id="6" name="Kuva 5">
            <a:extLst>
              <a:ext uri="{FF2B5EF4-FFF2-40B4-BE49-F238E27FC236}">
                <a16:creationId xmlns:a16="http://schemas.microsoft.com/office/drawing/2014/main" id="{188A260C-F02E-73C2-35AF-CC5B59432834}"/>
              </a:ext>
            </a:extLst>
          </xdr:cNvPr>
          <xdr:cNvPicPr>
            <a:picLocks noChangeAspect="1"/>
          </xdr:cNvPicPr>
        </xdr:nvPicPr>
        <xdr:blipFill>
          <a:blip xmlns:r="http://schemas.openxmlformats.org/officeDocument/2006/relationships" r:embed="rId1"/>
          <a:stretch>
            <a:fillRect/>
          </a:stretch>
        </xdr:blipFill>
        <xdr:spPr>
          <a:xfrm>
            <a:off x="2547381" y="221192"/>
            <a:ext cx="1315369" cy="889000"/>
          </a:xfrm>
          <a:prstGeom prst="rect">
            <a:avLst/>
          </a:prstGeom>
        </xdr:spPr>
      </xdr:pic>
      <xdr:pic>
        <xdr:nvPicPr>
          <xdr:cNvPr id="2" name="Kuva 1">
            <a:extLst>
              <a:ext uri="{FF2B5EF4-FFF2-40B4-BE49-F238E27FC236}">
                <a16:creationId xmlns:a16="http://schemas.microsoft.com/office/drawing/2014/main" id="{18A1ADB5-E71F-D345-B8CC-952EDBEEDE8A}"/>
              </a:ext>
            </a:extLst>
          </xdr:cNvPr>
          <xdr:cNvPicPr>
            <a:picLocks noChangeAspect="1"/>
          </xdr:cNvPicPr>
        </xdr:nvPicPr>
        <xdr:blipFill>
          <a:blip xmlns:r="http://schemas.openxmlformats.org/officeDocument/2006/relationships" r:embed="rId2"/>
          <a:stretch>
            <a:fillRect/>
          </a:stretch>
        </xdr:blipFill>
        <xdr:spPr>
          <a:xfrm>
            <a:off x="4678377" y="43419"/>
            <a:ext cx="4975930" cy="1280854"/>
          </a:xfrm>
          <a:prstGeom prst="rect">
            <a:avLst/>
          </a:prstGeom>
        </xdr:spPr>
      </xdr:pic>
    </xdr:grpSp>
    <xdr:clientData/>
  </xdr:twoCellAnchor>
</xdr:wsDr>
</file>

<file path=xl/theme/theme1.xml><?xml version="1.0" encoding="utf-8"?>
<a:theme xmlns:a="http://schemas.openxmlformats.org/drawingml/2006/main" name="Office-teema">
  <a:themeElements>
    <a:clrScheme name="Ornamo1">
      <a:dk1>
        <a:srgbClr val="7373A8"/>
      </a:dk1>
      <a:lt1>
        <a:srgbClr val="FFFFFF"/>
      </a:lt1>
      <a:dk2>
        <a:srgbClr val="C3C3C3"/>
      </a:dk2>
      <a:lt2>
        <a:srgbClr val="454F4F"/>
      </a:lt2>
      <a:accent1>
        <a:srgbClr val="EBFF37"/>
      </a:accent1>
      <a:accent2>
        <a:srgbClr val="573699"/>
      </a:accent2>
      <a:accent3>
        <a:srgbClr val="E5E2FF"/>
      </a:accent3>
      <a:accent4>
        <a:srgbClr val="B5C7EB"/>
      </a:accent4>
      <a:accent5>
        <a:srgbClr val="F3F3F3"/>
      </a:accent5>
      <a:accent6>
        <a:srgbClr val="FF9387"/>
      </a:accent6>
      <a:hlink>
        <a:srgbClr val="0D0D66"/>
      </a:hlink>
      <a:folHlink>
        <a:srgbClr val="8C8C8C"/>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F2E65-998C-2544-8AD4-E3168E7B083A}">
  <dimension ref="A1:L150"/>
  <sheetViews>
    <sheetView showGridLines="0" tabSelected="1" zoomScaleNormal="100" workbookViewId="0">
      <selection activeCell="D140" sqref="D140"/>
    </sheetView>
  </sheetViews>
  <sheetFormatPr baseColWidth="10" defaultRowHeight="16" x14ac:dyDescent="0.2"/>
  <cols>
    <col min="1" max="1" width="17" style="1" customWidth="1"/>
    <col min="2" max="2" width="26.5" style="1" customWidth="1"/>
    <col min="3" max="3" width="37.5" style="1" customWidth="1"/>
    <col min="4" max="4" width="20.83203125" style="1" customWidth="1"/>
    <col min="5" max="5" width="32.1640625" style="1" customWidth="1"/>
    <col min="6" max="6" width="14.6640625" style="1" bestFit="1" customWidth="1"/>
    <col min="7" max="16384" width="10.83203125" style="1"/>
  </cols>
  <sheetData>
    <row r="1" spans="1:12" ht="102" customHeight="1" x14ac:dyDescent="0.2">
      <c r="A1" s="20"/>
      <c r="B1" s="20" t="s">
        <v>2</v>
      </c>
      <c r="C1" s="8"/>
      <c r="D1" s="6"/>
      <c r="E1" s="6"/>
      <c r="F1" s="6"/>
      <c r="G1" s="6"/>
      <c r="H1" s="6"/>
      <c r="I1" s="6"/>
      <c r="J1" s="6"/>
      <c r="K1" s="6"/>
      <c r="L1" s="6"/>
    </row>
    <row r="2" spans="1:12" ht="102" customHeight="1" x14ac:dyDescent="0.2">
      <c r="A2" s="28"/>
      <c r="B2" s="65" t="s">
        <v>155</v>
      </c>
      <c r="C2" s="65"/>
      <c r="D2" s="65"/>
      <c r="E2" s="65"/>
      <c r="F2" s="65"/>
      <c r="G2" s="65"/>
      <c r="H2" s="65"/>
      <c r="I2" s="65"/>
      <c r="J2" s="6"/>
      <c r="K2" s="6"/>
      <c r="L2" s="6"/>
    </row>
    <row r="3" spans="1:12" s="19" customFormat="1" x14ac:dyDescent="0.2">
      <c r="A3" s="4"/>
      <c r="B3" s="4" t="s">
        <v>3</v>
      </c>
      <c r="C3" s="50" t="s">
        <v>4</v>
      </c>
    </row>
    <row r="4" spans="1:12" s="19" customFormat="1" x14ac:dyDescent="0.2"/>
    <row r="5" spans="1:12" s="19" customFormat="1" x14ac:dyDescent="0.2">
      <c r="A5" s="4"/>
      <c r="B5" s="4" t="s">
        <v>6</v>
      </c>
      <c r="C5" s="50" t="s">
        <v>13</v>
      </c>
    </row>
    <row r="6" spans="1:12" s="19" customFormat="1" ht="88" customHeight="1" x14ac:dyDescent="0.2">
      <c r="C6" s="9" t="str">
        <f>IF(OR('Start here'!$C$5='Luettelojen sisällöt'!$D$2,'Start here'!$C$5='Luettelojen sisällöt'!$D$3,'Start here'!$C$5='Luettelojen sisällöt'!$D$5,'Start here'!$C$5='Luettelojen sisällöt'!$D$6,'Start here'!$C$5='Luettelojen sisällöt'!$D$7,'Start here'!$C$5='Luettelojen sisällöt'!$D$8),"How many products/services do you want to calculate a price for (1-10).",0)</f>
        <v>How many products/services do you want to calculate a price for (1-10).</v>
      </c>
    </row>
    <row r="7" spans="1:12" s="19" customFormat="1" x14ac:dyDescent="0.2">
      <c r="A7" s="4"/>
      <c r="B7" s="4" t="str">
        <f>IF(OR('Start here'!$C$5='Luettelojen sisällöt'!$D$2,'Start here'!$C$5='Luettelojen sisällöt'!$D$5,'Start here'!$C$5='Luettelojen sisällöt'!$D$6,'Start here'!$C$5='Luettelojen sisällöt'!$D$8),"Amount of different products",0)</f>
        <v>Amount of different products</v>
      </c>
      <c r="C7" s="46"/>
      <c r="D7" s="19" t="str">
        <f>IF(OR('Start here'!C5='Luettelojen sisällöt'!D2,'Start here'!C5='Luettelojen sisällöt'!D5,'Start here'!C5='Luettelojen sisällöt'!D6,'Start here'!C5='Luettelojen sisällöt'!D8),"pcs",0)</f>
        <v>pcs</v>
      </c>
    </row>
    <row r="8" spans="1:12" s="19" customFormat="1" x14ac:dyDescent="0.2">
      <c r="A8" s="4"/>
      <c r="B8" s="4" t="str">
        <f>IF(OR('Start here'!$C$5='Luettelojen sisällöt'!$D$5,'Start here'!$C$5='Luettelojen sisällöt'!$D$7,'Start here'!$C$5='Luettelojen sisällöt'!$D$8,'Start here'!$C$5='Luettelojen sisällöt'!$D$3),"Amount of different services",0)</f>
        <v>Amount of different services</v>
      </c>
      <c r="C8" s="46"/>
      <c r="D8" s="19" t="str">
        <f>IF(OR('Start here'!$C$5='Luettelojen sisällöt'!$D$5,'Start here'!$C$5='Luettelojen sisällöt'!$D$7,'Start here'!$C$5='Luettelojen sisällöt'!$D$8,'Start here'!$C$5='Luettelojen sisällöt'!$D$3),"pcs",0)</f>
        <v>pcs</v>
      </c>
    </row>
    <row r="9" spans="1:12" s="19" customFormat="1" x14ac:dyDescent="0.2"/>
    <row r="10" spans="1:12" s="19" customFormat="1" x14ac:dyDescent="0.2"/>
    <row r="11" spans="1:12" s="19" customFormat="1" x14ac:dyDescent="0.2">
      <c r="A11" s="4"/>
      <c r="B11" s="4">
        <f>IF(AND(C7&gt;0,C8&gt;0),"Name the products and services you provide",IF(C7&gt;0,"Name the products you provide",IF(C8&gt;0,"Name the services you provide",0)))</f>
        <v>0</v>
      </c>
    </row>
    <row r="12" spans="1:12" s="19" customFormat="1" x14ac:dyDescent="0.2">
      <c r="B12" s="19">
        <f>IF($C$7&gt;0,"Name of product 1:",IF(AND($C$7=0,$C$8&gt;0),"Name of service 1:",0))</f>
        <v>0</v>
      </c>
      <c r="C12" s="47"/>
      <c r="D12" s="19">
        <f>IF(AND($C$7&gt;0,$C$8&gt;0),"Name of service 1:",0)</f>
        <v>0</v>
      </c>
      <c r="E12" s="47"/>
    </row>
    <row r="13" spans="1:12" s="19" customFormat="1" x14ac:dyDescent="0.2">
      <c r="B13" s="19">
        <f>IF($C$7&gt;1,"Name of product 2:",IF(AND($C$7=0,$C$8&gt;1),"Name of service 2:",0))</f>
        <v>0</v>
      </c>
      <c r="C13" s="47"/>
      <c r="D13" s="19">
        <f>IF(AND($C$7&gt;0,$C$8&gt;1),"Name of service 2:",0)</f>
        <v>0</v>
      </c>
      <c r="E13" s="47"/>
    </row>
    <row r="14" spans="1:12" s="19" customFormat="1" x14ac:dyDescent="0.2">
      <c r="B14" s="19">
        <f>IF($C$7&gt;2,"Name of product 3:",IF(AND($C$7=0,$C$8&gt;2),"Name of service 3:",0))</f>
        <v>0</v>
      </c>
      <c r="C14" s="47"/>
      <c r="D14" s="19">
        <f>IF(AND($C$7&gt;0,$C$8&gt;2),"Name of service 3:",0)</f>
        <v>0</v>
      </c>
      <c r="E14" s="47"/>
    </row>
    <row r="15" spans="1:12" s="19" customFormat="1" x14ac:dyDescent="0.2">
      <c r="B15" s="19">
        <f>IF($C$7&gt;3,"Name of product 4:",IF(AND($C$7=0,$C$8&gt;3),"Name of service 4:",0))</f>
        <v>0</v>
      </c>
      <c r="C15" s="47"/>
      <c r="D15" s="19">
        <f>IF(AND($C$7&gt;0,$C$8&gt;3),"Name of service 4:",0)</f>
        <v>0</v>
      </c>
      <c r="E15" s="47"/>
    </row>
    <row r="16" spans="1:12" s="19" customFormat="1" x14ac:dyDescent="0.2">
      <c r="B16" s="19">
        <f>IF($C$7&gt;4,"Name of product 5:",IF(AND($C$7=0,$C$8&gt;4),"Name of service 5:",0))</f>
        <v>0</v>
      </c>
      <c r="C16" s="47"/>
      <c r="D16" s="19">
        <f>IF(AND($C$7&gt;0,$C$8&gt;4),"Name of service 5:",0)</f>
        <v>0</v>
      </c>
      <c r="E16" s="47"/>
    </row>
    <row r="17" spans="1:12" s="19" customFormat="1" x14ac:dyDescent="0.2">
      <c r="B17" s="19">
        <f>IF($C$7&gt;5,"Name of product 6:",IF(AND($C$7=0,$C$8&gt;5),"Name of service 6:",0))</f>
        <v>0</v>
      </c>
      <c r="C17" s="47"/>
      <c r="D17" s="19">
        <f>IF(AND($C$7&gt;0,$C$8&gt;5),"Name of service 6:",0)</f>
        <v>0</v>
      </c>
      <c r="E17" s="47"/>
    </row>
    <row r="18" spans="1:12" s="19" customFormat="1" x14ac:dyDescent="0.2">
      <c r="B18" s="19">
        <f>IF($C$7&gt;6,"Name of product 7:",IF(AND($C$7=0,$C$8&gt;6),"Name of service 7:",0))</f>
        <v>0</v>
      </c>
      <c r="C18" s="47"/>
      <c r="D18" s="19">
        <f>IF(AND($C$7&gt;0,$C$8&gt;6),"Name of service 7:",0)</f>
        <v>0</v>
      </c>
      <c r="E18" s="47"/>
    </row>
    <row r="19" spans="1:12" s="19" customFormat="1" x14ac:dyDescent="0.2">
      <c r="B19" s="19">
        <f>IF($C$7&gt;7,"Name of product 8:",IF(AND($C$7=0,$C$8&gt;7),"Name of service 8:",0))</f>
        <v>0</v>
      </c>
      <c r="C19" s="47"/>
      <c r="D19" s="19">
        <f>IF(AND($C$7&gt;0,$C$8&gt;7),"Name of service 8:",0)</f>
        <v>0</v>
      </c>
      <c r="E19" s="47"/>
    </row>
    <row r="20" spans="1:12" s="19" customFormat="1" x14ac:dyDescent="0.2">
      <c r="B20" s="19">
        <f>IF($C$7&gt;8,"Name of product 9:",IF(AND($C$7=0,$C$8&gt;8),"Name of service 9:",0))</f>
        <v>0</v>
      </c>
      <c r="C20" s="47"/>
      <c r="D20" s="19">
        <f>IF(AND($C$7&gt;0,$C$8&gt;8),"Name of service 9:",0)</f>
        <v>0</v>
      </c>
      <c r="E20" s="47"/>
    </row>
    <row r="21" spans="1:12" s="19" customFormat="1" x14ac:dyDescent="0.2">
      <c r="B21" s="19">
        <f>IF($C$7&gt;9,"Name of product 10:",IF(AND($C$7=0,$C$8&gt;9),"Name of service 10:",0))</f>
        <v>0</v>
      </c>
      <c r="C21" s="47"/>
      <c r="D21" s="19">
        <f>IF(AND($C$7&gt;0,$C$8&gt;9),"Name of service 10:",0)</f>
        <v>0</v>
      </c>
      <c r="E21" s="47"/>
    </row>
    <row r="22" spans="1:12" s="19" customFormat="1" x14ac:dyDescent="0.2"/>
    <row r="23" spans="1:12" ht="96" customHeight="1" x14ac:dyDescent="0.2">
      <c r="A23" s="27"/>
      <c r="B23" s="64" t="str">
        <f>IF(C3='Luettelojen sisällöt'!B2,"Next, enter the expenses related to your business. If your business is your primary source of income, enter the personal expenses that your business income must cover as well.","Enter all expenses related to your business.")</f>
        <v>Next, enter the expenses related to your business. If your business is your primary source of income, enter the personal expenses that your business income must cover as well.</v>
      </c>
      <c r="C23" s="64"/>
      <c r="D23" s="11"/>
      <c r="E23" s="6"/>
      <c r="F23" s="6"/>
      <c r="G23" s="6"/>
      <c r="H23" s="6"/>
      <c r="I23" s="6"/>
      <c r="J23" s="6"/>
      <c r="K23" s="6"/>
      <c r="L23" s="6"/>
    </row>
    <row r="24" spans="1:12" x14ac:dyDescent="0.2">
      <c r="A24" s="4"/>
      <c r="B24" s="4"/>
    </row>
    <row r="25" spans="1:12" x14ac:dyDescent="0.2">
      <c r="A25" s="4"/>
      <c r="B25" s="4" t="s">
        <v>24</v>
      </c>
      <c r="C25" s="2" t="s">
        <v>26</v>
      </c>
    </row>
    <row r="26" spans="1:12" x14ac:dyDescent="0.2">
      <c r="A26" s="4"/>
      <c r="B26" s="4"/>
    </row>
    <row r="27" spans="1:12" x14ac:dyDescent="0.2">
      <c r="A27" s="4"/>
      <c r="B27" s="4">
        <f>IF(C25='Luettelojen sisällöt'!G2,"Yearly raw materials costs",0)</f>
        <v>0</v>
      </c>
      <c r="C27" s="52">
        <v>0</v>
      </c>
    </row>
    <row r="28" spans="1:12" ht="34" x14ac:dyDescent="0.2">
      <c r="A28" s="4"/>
      <c r="B28" s="18" t="s">
        <v>44</v>
      </c>
      <c r="C28" s="18" t="str">
        <f>IF($C$25='Luettelojen sisällöt'!$G$3,"Product name",0)</f>
        <v>Product name</v>
      </c>
      <c r="D28" s="18" t="str">
        <f>IF($C$25='Luettelojen sisällöt'!$G$3,"Raw materials costs per unit",0)</f>
        <v>Raw materials costs per unit</v>
      </c>
      <c r="E28" s="18" t="str">
        <f>IF($C$25='Luettelojen sisällöt'!$G$3,"Service name",0)</f>
        <v>Service name</v>
      </c>
      <c r="F28" s="18" t="str">
        <f>IF($C$25='Luettelojen sisällöt'!$G$3,"Materials costs per unit",0)</f>
        <v>Materials costs per unit</v>
      </c>
    </row>
    <row r="29" spans="1:12" x14ac:dyDescent="0.2">
      <c r="C29" s="19" cm="1">
        <f t="array" ref="C29:C38">IF($C$25='Luettelojen sisällöt'!$G$3,'Start here'!C12:C21,0)</f>
        <v>0</v>
      </c>
      <c r="D29" s="52"/>
      <c r="E29" s="1" cm="1">
        <f t="array" ref="E29:E38">IF(C25='Luettelojen sisällöt'!G3,'Start here'!E12:E21,0)</f>
        <v>0</v>
      </c>
      <c r="F29" s="52"/>
    </row>
    <row r="30" spans="1:12" x14ac:dyDescent="0.2">
      <c r="C30" s="19">
        <v>0</v>
      </c>
      <c r="D30" s="52"/>
      <c r="E30" s="1">
        <v>0</v>
      </c>
      <c r="F30" s="52"/>
    </row>
    <row r="31" spans="1:12" x14ac:dyDescent="0.2">
      <c r="C31" s="19">
        <v>0</v>
      </c>
      <c r="D31" s="52"/>
      <c r="E31" s="1">
        <v>0</v>
      </c>
      <c r="F31" s="52"/>
    </row>
    <row r="32" spans="1:12" x14ac:dyDescent="0.2">
      <c r="C32" s="19">
        <v>0</v>
      </c>
      <c r="D32" s="52"/>
      <c r="E32" s="1">
        <v>0</v>
      </c>
      <c r="F32" s="52"/>
    </row>
    <row r="33" spans="1:6" x14ac:dyDescent="0.2">
      <c r="C33" s="19">
        <v>0</v>
      </c>
      <c r="D33" s="52"/>
      <c r="E33" s="1">
        <v>0</v>
      </c>
      <c r="F33" s="52"/>
    </row>
    <row r="34" spans="1:6" x14ac:dyDescent="0.2">
      <c r="C34" s="19">
        <v>0</v>
      </c>
      <c r="D34" s="52"/>
      <c r="E34" s="1">
        <v>0</v>
      </c>
      <c r="F34" s="52"/>
    </row>
    <row r="35" spans="1:6" x14ac:dyDescent="0.2">
      <c r="C35" s="19">
        <v>0</v>
      </c>
      <c r="D35" s="52"/>
      <c r="E35" s="1">
        <v>0</v>
      </c>
      <c r="F35" s="52"/>
    </row>
    <row r="36" spans="1:6" x14ac:dyDescent="0.2">
      <c r="C36" s="19">
        <v>0</v>
      </c>
      <c r="D36" s="52"/>
      <c r="E36" s="1">
        <v>0</v>
      </c>
      <c r="F36" s="52"/>
    </row>
    <row r="37" spans="1:6" x14ac:dyDescent="0.2">
      <c r="C37" s="19">
        <v>0</v>
      </c>
      <c r="D37" s="52"/>
      <c r="E37" s="1">
        <v>0</v>
      </c>
      <c r="F37" s="52"/>
    </row>
    <row r="38" spans="1:6" x14ac:dyDescent="0.2">
      <c r="C38" s="19">
        <v>0</v>
      </c>
      <c r="D38" s="52"/>
      <c r="E38" s="1">
        <v>0</v>
      </c>
      <c r="F38" s="52"/>
    </row>
    <row r="39" spans="1:6" x14ac:dyDescent="0.2">
      <c r="C39" s="4"/>
    </row>
    <row r="40" spans="1:6" x14ac:dyDescent="0.2">
      <c r="A40" s="4"/>
      <c r="B40" s="4" t="s">
        <v>27</v>
      </c>
    </row>
    <row r="41" spans="1:6" x14ac:dyDescent="0.2">
      <c r="B41" s="4" t="str" cm="1">
        <f t="array" ref="B41:C142">IF(C3='Luettelojen sisällöt'!B3,Taul2!A1:B48,Taul2!A1:B102)</f>
        <v>Facilities and Equipment</v>
      </c>
      <c r="C41" s="1">
        <v>0</v>
      </c>
    </row>
    <row r="42" spans="1:6" x14ac:dyDescent="0.2">
      <c r="B42" s="4">
        <v>0</v>
      </c>
      <c r="C42" s="1" t="str">
        <v>Rent of business premises</v>
      </c>
      <c r="D42" s="52"/>
    </row>
    <row r="43" spans="1:6" x14ac:dyDescent="0.2">
      <c r="B43" s="4">
        <v>0</v>
      </c>
      <c r="C43" s="1" t="str">
        <v>Maintenance and upkeep of premises</v>
      </c>
      <c r="D43" s="52"/>
    </row>
    <row r="44" spans="1:6" x14ac:dyDescent="0.2">
      <c r="B44" s="4">
        <v>0</v>
      </c>
      <c r="C44" s="1" t="str">
        <v>Heating</v>
      </c>
      <c r="D44" s="52"/>
    </row>
    <row r="45" spans="1:6" x14ac:dyDescent="0.2">
      <c r="B45" s="4">
        <v>0</v>
      </c>
      <c r="C45" s="1" t="str">
        <v>Electricity</v>
      </c>
      <c r="D45" s="52"/>
    </row>
    <row r="46" spans="1:6" x14ac:dyDescent="0.2">
      <c r="B46" s="4">
        <v>0</v>
      </c>
      <c r="C46" s="1" t="str">
        <v>Water</v>
      </c>
      <c r="D46" s="52"/>
    </row>
    <row r="47" spans="1:6" x14ac:dyDescent="0.2">
      <c r="B47" s="4">
        <v>0</v>
      </c>
      <c r="C47" s="1" t="str">
        <v xml:space="preserve">New machines and equipment </v>
      </c>
      <c r="D47" s="52"/>
    </row>
    <row r="48" spans="1:6" x14ac:dyDescent="0.2">
      <c r="B48" s="4">
        <v>0</v>
      </c>
      <c r="C48" s="1" t="str">
        <v xml:space="preserve">Depreciation of machines and equipment </v>
      </c>
      <c r="D48" s="52"/>
    </row>
    <row r="49" spans="2:4" x14ac:dyDescent="0.2">
      <c r="B49" s="4">
        <v>0</v>
      </c>
      <c r="C49" s="1" t="str">
        <v>Equipment leasing</v>
      </c>
      <c r="D49" s="52"/>
    </row>
    <row r="50" spans="2:4" x14ac:dyDescent="0.2">
      <c r="B50" s="4">
        <v>0</v>
      </c>
      <c r="C50" s="1" t="str">
        <v>Other facility and equipment expenses</v>
      </c>
      <c r="D50" s="52"/>
    </row>
    <row r="51" spans="2:4" x14ac:dyDescent="0.2">
      <c r="B51" s="4" t="str">
        <v>Services and Licenses</v>
      </c>
      <c r="C51" s="1">
        <v>0</v>
      </c>
      <c r="D51" s="17"/>
    </row>
    <row r="52" spans="2:4" x14ac:dyDescent="0.2">
      <c r="B52" s="4">
        <v>0</v>
      </c>
      <c r="C52" s="1" t="str">
        <v>Accounting services</v>
      </c>
      <c r="D52" s="52"/>
    </row>
    <row r="53" spans="2:4" x14ac:dyDescent="0.2">
      <c r="B53" s="4">
        <v>0</v>
      </c>
      <c r="C53" s="1" t="str">
        <v>Software license fees</v>
      </c>
      <c r="D53" s="52"/>
    </row>
    <row r="54" spans="2:4" x14ac:dyDescent="0.2">
      <c r="B54" s="4">
        <v>0</v>
      </c>
      <c r="C54" s="1" t="str">
        <v>Software registration fees</v>
      </c>
      <c r="D54" s="52"/>
    </row>
    <row r="55" spans="2:4" x14ac:dyDescent="0.2">
      <c r="B55" s="4">
        <v>0</v>
      </c>
      <c r="C55" s="1" t="str">
        <v>Website upkeep and maintenance</v>
      </c>
      <c r="D55" s="52"/>
    </row>
    <row r="56" spans="2:4" x14ac:dyDescent="0.2">
      <c r="B56" s="4">
        <v>0</v>
      </c>
      <c r="C56" s="1" t="str">
        <v>Internet</v>
      </c>
      <c r="D56" s="52"/>
    </row>
    <row r="57" spans="2:4" x14ac:dyDescent="0.2">
      <c r="B57" s="4">
        <v>0</v>
      </c>
      <c r="C57" s="1" t="str">
        <v>Phone operator costs</v>
      </c>
      <c r="D57" s="52"/>
    </row>
    <row r="58" spans="2:4" x14ac:dyDescent="0.2">
      <c r="B58" s="4">
        <v>0</v>
      </c>
      <c r="C58" s="1" t="str">
        <v>Patent, design, and IPR expenses</v>
      </c>
      <c r="D58" s="52"/>
    </row>
    <row r="59" spans="2:4" x14ac:dyDescent="0.2">
      <c r="B59" s="4">
        <v>0</v>
      </c>
      <c r="C59" s="1" t="str">
        <v>Membership fees (non-staff associations)</v>
      </c>
      <c r="D59" s="52"/>
    </row>
    <row r="60" spans="2:4" x14ac:dyDescent="0.2">
      <c r="B60" s="4">
        <v>0</v>
      </c>
      <c r="C60" s="1" t="str">
        <v>Bank fees</v>
      </c>
      <c r="D60" s="52"/>
    </row>
    <row r="61" spans="2:4" x14ac:dyDescent="0.2">
      <c r="B61" s="4">
        <v>0</v>
      </c>
      <c r="C61" s="1" t="str">
        <v>Financing application fees</v>
      </c>
      <c r="D61" s="52"/>
    </row>
    <row r="62" spans="2:4" x14ac:dyDescent="0.2">
      <c r="B62" s="4">
        <v>0</v>
      </c>
      <c r="C62" s="1" t="str">
        <v>Loan interest</v>
      </c>
      <c r="D62" s="52"/>
    </row>
    <row r="63" spans="2:4" x14ac:dyDescent="0.2">
      <c r="B63" s="4">
        <v>0</v>
      </c>
      <c r="C63" s="1" t="str">
        <v>Other service and software expenses</v>
      </c>
      <c r="D63" s="52"/>
    </row>
    <row r="64" spans="2:4" x14ac:dyDescent="0.2">
      <c r="B64" s="4" t="str">
        <v>Personnel Costs</v>
      </c>
      <c r="C64" s="1">
        <v>0</v>
      </c>
      <c r="D64" s="17"/>
    </row>
    <row r="65" spans="2:6" x14ac:dyDescent="0.2">
      <c r="B65" s="4">
        <v>0</v>
      </c>
      <c r="C65" s="1" t="str">
        <v>Self-employed pension insurance (YEL)</v>
      </c>
      <c r="D65" s="52"/>
    </row>
    <row r="66" spans="2:6" x14ac:dyDescent="0.2">
      <c r="B66" s="4">
        <v>0</v>
      </c>
      <c r="C66" s="1" t="str">
        <v>Self-employed unemployment insurance</v>
      </c>
      <c r="D66" s="52"/>
      <c r="F66" s="10" t="str">
        <f>CONCATENATE("Total expenses entered: ",DOLLAR(SUM(D42:D136)))</f>
        <v>Total expenses entered: 0,00 €</v>
      </c>
    </row>
    <row r="67" spans="2:6" x14ac:dyDescent="0.2">
      <c r="B67" s="4">
        <v>0</v>
      </c>
      <c r="C67" s="1" t="str">
        <v>Employee salaries</v>
      </c>
      <c r="D67" s="52"/>
    </row>
    <row r="68" spans="2:6" x14ac:dyDescent="0.2">
      <c r="B68" s="4">
        <v>0</v>
      </c>
      <c r="C68" s="1" t="str">
        <v>Employee insurance</v>
      </c>
      <c r="D68" s="52"/>
    </row>
    <row r="69" spans="2:6" x14ac:dyDescent="0.2">
      <c r="B69" s="4">
        <v>0</v>
      </c>
      <c r="C69" s="1" t="str">
        <v>Training costs</v>
      </c>
      <c r="D69" s="52"/>
    </row>
    <row r="70" spans="2:6" x14ac:dyDescent="0.2">
      <c r="B70" s="4">
        <v>0</v>
      </c>
      <c r="C70" s="1" t="str">
        <v>Union and association membership fees</v>
      </c>
      <c r="D70" s="52"/>
    </row>
    <row r="71" spans="2:6" x14ac:dyDescent="0.2">
      <c r="B71" s="4">
        <v>0</v>
      </c>
      <c r="C71" s="1" t="str">
        <v>Other personnel expenses</v>
      </c>
      <c r="D71" s="52"/>
    </row>
    <row r="72" spans="2:6" x14ac:dyDescent="0.2">
      <c r="B72" s="4" t="str">
        <v>Production and Procurement</v>
      </c>
      <c r="C72" s="1">
        <v>0</v>
      </c>
      <c r="D72" s="17"/>
    </row>
    <row r="73" spans="2:6" x14ac:dyDescent="0.2">
      <c r="B73" s="4">
        <v>0</v>
      </c>
      <c r="C73" s="1" t="str">
        <v>Production costs</v>
      </c>
      <c r="D73" s="52"/>
      <c r="E73" s="1" t="s">
        <v>156</v>
      </c>
    </row>
    <row r="74" spans="2:6" x14ac:dyDescent="0.2">
      <c r="B74" s="4">
        <v>0</v>
      </c>
      <c r="C74" s="1" t="str">
        <v>Outsourced services</v>
      </c>
      <c r="D74" s="52"/>
      <c r="E74" s="1" t="s">
        <v>154</v>
      </c>
    </row>
    <row r="75" spans="2:6" x14ac:dyDescent="0.2">
      <c r="B75" s="4">
        <v>0</v>
      </c>
      <c r="C75" s="1" t="str">
        <v>Packaging materials</v>
      </c>
      <c r="D75" s="52"/>
    </row>
    <row r="76" spans="2:6" x14ac:dyDescent="0.2">
      <c r="B76" s="4">
        <v>0</v>
      </c>
      <c r="C76" s="1" t="str">
        <v>Storage costs</v>
      </c>
      <c r="D76" s="52"/>
    </row>
    <row r="77" spans="2:6" x14ac:dyDescent="0.2">
      <c r="B77" s="4">
        <v>0</v>
      </c>
      <c r="C77" s="1" t="str">
        <v>Office supplies</v>
      </c>
      <c r="D77" s="52"/>
    </row>
    <row r="78" spans="2:6" x14ac:dyDescent="0.2">
      <c r="B78" s="4">
        <v>0</v>
      </c>
      <c r="C78" s="1" t="str">
        <v>Books and magazines</v>
      </c>
      <c r="D78" s="52"/>
    </row>
    <row r="79" spans="2:6" x14ac:dyDescent="0.2">
      <c r="B79" s="4">
        <v>0</v>
      </c>
      <c r="C79" s="1" t="str">
        <v>Other production-related expenses</v>
      </c>
      <c r="D79" s="52"/>
    </row>
    <row r="80" spans="2:6" x14ac:dyDescent="0.2">
      <c r="B80" s="4" t="str">
        <v>Marketing and Sales</v>
      </c>
      <c r="C80" s="1">
        <v>0</v>
      </c>
      <c r="D80" s="17"/>
    </row>
    <row r="81" spans="2:4" x14ac:dyDescent="0.2">
      <c r="B81" s="4">
        <v>0</v>
      </c>
      <c r="C81" s="1" t="str">
        <v>Advertising costs</v>
      </c>
      <c r="D81" s="52"/>
    </row>
    <row r="82" spans="2:4" x14ac:dyDescent="0.2">
      <c r="B82" s="4">
        <v>0</v>
      </c>
      <c r="C82" s="1" t="str">
        <v>Marketing events</v>
      </c>
      <c r="D82" s="52"/>
    </row>
    <row r="83" spans="2:4" x14ac:dyDescent="0.2">
      <c r="B83" s="4">
        <v>0</v>
      </c>
      <c r="C83" s="1" t="str">
        <v>Fair and exhibition fees</v>
      </c>
      <c r="D83" s="52"/>
    </row>
    <row r="84" spans="2:4" x14ac:dyDescent="0.2">
      <c r="B84" s="4">
        <v>0</v>
      </c>
      <c r="C84" s="1" t="str">
        <v>Marketing materials</v>
      </c>
      <c r="D84" s="52"/>
    </row>
    <row r="85" spans="2:4" x14ac:dyDescent="0.2">
      <c r="B85" s="4">
        <v>0</v>
      </c>
      <c r="C85" s="1" t="str">
        <v>Shipping and delivery costs</v>
      </c>
      <c r="D85" s="52"/>
    </row>
    <row r="86" spans="2:4" x14ac:dyDescent="0.2">
      <c r="B86" s="4">
        <v>0</v>
      </c>
      <c r="C86" s="1" t="str">
        <v>Representation expenses</v>
      </c>
      <c r="D86" s="52"/>
    </row>
    <row r="87" spans="2:4" x14ac:dyDescent="0.2">
      <c r="B87" s="4">
        <v>0</v>
      </c>
      <c r="C87" s="1" t="str">
        <v>Travel expenses</v>
      </c>
      <c r="D87" s="52"/>
    </row>
    <row r="88" spans="2:4" x14ac:dyDescent="0.2">
      <c r="B88" s="4">
        <v>0</v>
      </c>
      <c r="C88" s="1" t="str">
        <v>Other marketing and sales expenses</v>
      </c>
      <c r="D88" s="52"/>
    </row>
    <row r="89" spans="2:4" x14ac:dyDescent="0.2">
      <c r="B89" s="4">
        <v>0</v>
      </c>
      <c r="C89" s="1">
        <v>0</v>
      </c>
      <c r="D89" s="17"/>
    </row>
    <row r="90" spans="2:4" x14ac:dyDescent="0.2">
      <c r="B90" s="4" t="str">
        <v>Personal Expenses</v>
      </c>
      <c r="C90" s="1">
        <v>0</v>
      </c>
      <c r="D90" s="17"/>
    </row>
    <row r="91" spans="2:4" x14ac:dyDescent="0.2">
      <c r="B91" s="4" t="str">
        <v>Housing</v>
      </c>
      <c r="C91" s="1">
        <v>0</v>
      </c>
      <c r="D91" s="17"/>
    </row>
    <row r="92" spans="2:4" x14ac:dyDescent="0.2">
      <c r="B92" s="4">
        <v>0</v>
      </c>
      <c r="C92" s="1" t="str">
        <v>Rent</v>
      </c>
      <c r="D92" s="52"/>
    </row>
    <row r="93" spans="2:4" x14ac:dyDescent="0.2">
      <c r="B93" s="4">
        <v>0</v>
      </c>
      <c r="C93" s="1" t="str">
        <v>Mortgage payments</v>
      </c>
      <c r="D93" s="52"/>
    </row>
    <row r="94" spans="2:4" x14ac:dyDescent="0.2">
      <c r="B94" s="4">
        <v>0</v>
      </c>
      <c r="C94" s="1" t="str">
        <v>Heating</v>
      </c>
      <c r="D94" s="52"/>
    </row>
    <row r="95" spans="2:4" x14ac:dyDescent="0.2">
      <c r="B95" s="4">
        <v>0</v>
      </c>
      <c r="C95" s="1" t="str">
        <v>Electricity</v>
      </c>
      <c r="D95" s="52"/>
    </row>
    <row r="96" spans="2:4" x14ac:dyDescent="0.2">
      <c r="B96" s="4">
        <v>0</v>
      </c>
      <c r="C96" s="1" t="str">
        <v>Water</v>
      </c>
      <c r="D96" s="52"/>
    </row>
    <row r="97" spans="2:4" x14ac:dyDescent="0.2">
      <c r="B97" s="4">
        <v>0</v>
      </c>
      <c r="C97" s="1" t="str">
        <v>Home maintenance and repairs</v>
      </c>
      <c r="D97" s="52"/>
    </row>
    <row r="98" spans="2:4" x14ac:dyDescent="0.2">
      <c r="B98" s="4">
        <v>0</v>
      </c>
      <c r="C98" s="1" t="str">
        <v>Interior decoration</v>
      </c>
      <c r="D98" s="52"/>
    </row>
    <row r="99" spans="2:4" x14ac:dyDescent="0.2">
      <c r="B99" s="4">
        <v>0</v>
      </c>
      <c r="C99" s="1" t="str">
        <v>Other housing expenses</v>
      </c>
      <c r="D99" s="52"/>
    </row>
    <row r="100" spans="2:4" x14ac:dyDescent="0.2">
      <c r="B100" s="4" t="str">
        <v>Transportation</v>
      </c>
      <c r="C100" s="1">
        <v>0</v>
      </c>
      <c r="D100" s="17"/>
    </row>
    <row r="101" spans="2:4" x14ac:dyDescent="0.2">
      <c r="B101" s="4">
        <v>0</v>
      </c>
      <c r="C101" s="1" t="str">
        <v>Public transport tickets</v>
      </c>
      <c r="D101" s="52"/>
    </row>
    <row r="102" spans="2:4" x14ac:dyDescent="0.2">
      <c r="B102" s="4">
        <v>0</v>
      </c>
      <c r="C102" s="1" t="str">
        <v>Car maintenance</v>
      </c>
      <c r="D102" s="52"/>
    </row>
    <row r="103" spans="2:4" x14ac:dyDescent="0.2">
      <c r="B103" s="4">
        <v>0</v>
      </c>
      <c r="C103" s="1" t="str">
        <v>Fuel</v>
      </c>
      <c r="D103" s="52"/>
    </row>
    <row r="104" spans="2:4" x14ac:dyDescent="0.2">
      <c r="B104" s="4">
        <v>0</v>
      </c>
      <c r="C104" s="1" t="str">
        <v>Other transportation costs</v>
      </c>
      <c r="D104" s="52"/>
    </row>
    <row r="105" spans="2:4" x14ac:dyDescent="0.2">
      <c r="B105" s="4" t="str">
        <v>Leisure</v>
      </c>
      <c r="C105" s="1">
        <v>0</v>
      </c>
      <c r="D105" s="17"/>
    </row>
    <row r="106" spans="2:4" x14ac:dyDescent="0.2">
      <c r="B106" s="4">
        <v>0</v>
      </c>
      <c r="C106" s="1" t="str">
        <v>Pets</v>
      </c>
      <c r="D106" s="52"/>
    </row>
    <row r="107" spans="2:4" x14ac:dyDescent="0.2">
      <c r="B107" s="4">
        <v>0</v>
      </c>
      <c r="C107" s="1" t="str">
        <v>Hobby fees</v>
      </c>
      <c r="D107" s="52"/>
    </row>
    <row r="108" spans="2:4" x14ac:dyDescent="0.2">
      <c r="B108" s="4">
        <v>0</v>
      </c>
      <c r="C108" s="1" t="str">
        <v>Parties</v>
      </c>
      <c r="D108" s="52"/>
    </row>
    <row r="109" spans="2:4" x14ac:dyDescent="0.2">
      <c r="B109" s="4">
        <v>0</v>
      </c>
      <c r="C109" s="1" t="str">
        <v>Participation/event fees</v>
      </c>
      <c r="D109" s="52"/>
    </row>
    <row r="110" spans="2:4" x14ac:dyDescent="0.2">
      <c r="B110" s="4">
        <v>0</v>
      </c>
      <c r="C110" s="1" t="str">
        <v>Restaurants</v>
      </c>
      <c r="D110" s="52"/>
    </row>
    <row r="111" spans="2:4" x14ac:dyDescent="0.2">
      <c r="B111" s="4">
        <v>0</v>
      </c>
      <c r="C111" s="1" t="str">
        <v>Vacation costs</v>
      </c>
      <c r="D111" s="52"/>
    </row>
    <row r="112" spans="2:4" x14ac:dyDescent="0.2">
      <c r="B112" s="4">
        <v>0</v>
      </c>
      <c r="C112" s="1" t="str">
        <v>Other leisure expenses</v>
      </c>
      <c r="D112" s="52"/>
    </row>
    <row r="113" spans="2:4" x14ac:dyDescent="0.2">
      <c r="B113" s="4" t="str">
        <v>Supplies</v>
      </c>
      <c r="C113" s="1">
        <v>0</v>
      </c>
      <c r="D113" s="17"/>
    </row>
    <row r="114" spans="2:4" x14ac:dyDescent="0.2">
      <c r="B114" s="4">
        <v>0</v>
      </c>
      <c r="C114" s="1" t="str">
        <v>Groceries</v>
      </c>
      <c r="D114" s="52"/>
    </row>
    <row r="115" spans="2:4" x14ac:dyDescent="0.2">
      <c r="B115" s="4">
        <v>0</v>
      </c>
      <c r="C115" s="1" t="str">
        <v>Cleaning supplies</v>
      </c>
      <c r="D115" s="52"/>
    </row>
    <row r="116" spans="2:4" x14ac:dyDescent="0.2">
      <c r="B116" s="4">
        <v>0</v>
      </c>
      <c r="C116" s="1" t="str">
        <v>Small appliances</v>
      </c>
      <c r="D116" s="52"/>
    </row>
    <row r="117" spans="2:4" x14ac:dyDescent="0.2">
      <c r="B117" s="4">
        <v>0</v>
      </c>
      <c r="C117" s="1" t="str">
        <v>Household appliances</v>
      </c>
      <c r="D117" s="52"/>
    </row>
    <row r="118" spans="2:4" x14ac:dyDescent="0.2">
      <c r="B118" s="4">
        <v>0</v>
      </c>
      <c r="C118" s="1" t="str">
        <v>Clothing</v>
      </c>
      <c r="D118" s="52"/>
    </row>
    <row r="119" spans="2:4" x14ac:dyDescent="0.2">
      <c r="B119" s="4">
        <v>0</v>
      </c>
      <c r="C119" s="1" t="str">
        <v>Daily consumables</v>
      </c>
      <c r="D119" s="52"/>
    </row>
    <row r="120" spans="2:4" x14ac:dyDescent="0.2">
      <c r="B120" s="4">
        <v>0</v>
      </c>
      <c r="C120" s="1" t="str">
        <v>Other supplies</v>
      </c>
      <c r="D120" s="52"/>
    </row>
    <row r="121" spans="2:4" x14ac:dyDescent="0.2">
      <c r="B121" s="4" t="str">
        <v>Services</v>
      </c>
      <c r="C121" s="1">
        <v>0</v>
      </c>
      <c r="D121" s="17"/>
    </row>
    <row r="122" spans="2:4" x14ac:dyDescent="0.2">
      <c r="B122" s="4">
        <v>0</v>
      </c>
      <c r="C122" s="1" t="str">
        <v>Internet</v>
      </c>
      <c r="D122" s="52"/>
    </row>
    <row r="123" spans="2:4" x14ac:dyDescent="0.2">
      <c r="B123" s="4">
        <v>0</v>
      </c>
      <c r="C123" s="1" t="str">
        <v>Software registration fees</v>
      </c>
      <c r="D123" s="52"/>
    </row>
    <row r="124" spans="2:4" x14ac:dyDescent="0.2">
      <c r="B124" s="4">
        <v>0</v>
      </c>
      <c r="C124" s="1" t="str">
        <v>Streaming services</v>
      </c>
      <c r="D124" s="52"/>
    </row>
    <row r="125" spans="2:4" x14ac:dyDescent="0.2">
      <c r="B125" s="4">
        <v>0</v>
      </c>
      <c r="C125" s="1" t="str">
        <v>Telephone costs</v>
      </c>
      <c r="D125" s="52"/>
    </row>
    <row r="126" spans="2:4" x14ac:dyDescent="0.2">
      <c r="B126" s="4">
        <v>0</v>
      </c>
      <c r="C126" s="1" t="str">
        <v>Other personal services</v>
      </c>
      <c r="D126" s="52"/>
    </row>
    <row r="127" spans="2:4" x14ac:dyDescent="0.2">
      <c r="B127" s="4" t="str">
        <v>Insurance and Preparedness</v>
      </c>
      <c r="C127" s="1">
        <v>0</v>
      </c>
      <c r="D127" s="17"/>
    </row>
    <row r="128" spans="2:4" x14ac:dyDescent="0.2">
      <c r="B128" s="4">
        <v>0</v>
      </c>
      <c r="C128" s="1" t="str">
        <v>Home insurance</v>
      </c>
      <c r="D128" s="52"/>
    </row>
    <row r="129" spans="2:4" x14ac:dyDescent="0.2">
      <c r="B129" s="4">
        <v>0</v>
      </c>
      <c r="C129" s="1" t="str">
        <v>Vehicle insurance</v>
      </c>
      <c r="D129" s="52"/>
    </row>
    <row r="130" spans="2:4" x14ac:dyDescent="0.2">
      <c r="B130" s="4">
        <v>0</v>
      </c>
      <c r="C130" s="1" t="str">
        <v>Life insurance</v>
      </c>
      <c r="D130" s="52"/>
    </row>
    <row r="131" spans="2:4" x14ac:dyDescent="0.2">
      <c r="B131" s="4">
        <v>0</v>
      </c>
      <c r="C131" s="1" t="str">
        <v>Health and accident insurance</v>
      </c>
      <c r="D131" s="52"/>
    </row>
    <row r="132" spans="2:4" x14ac:dyDescent="0.2">
      <c r="B132" s="4">
        <v>0</v>
      </c>
      <c r="C132" s="1" t="str">
        <v>Pet insurance</v>
      </c>
      <c r="D132" s="52"/>
    </row>
    <row r="133" spans="2:4" x14ac:dyDescent="0.2">
      <c r="B133" s="4">
        <v>0</v>
      </c>
      <c r="C133" s="1" t="str">
        <v>Savings</v>
      </c>
      <c r="D133" s="52"/>
    </row>
    <row r="134" spans="2:4" x14ac:dyDescent="0.2">
      <c r="B134" s="4">
        <v>0</v>
      </c>
      <c r="C134" s="1" t="str">
        <v>Other insurance and preparedness expenses</v>
      </c>
      <c r="D134" s="52"/>
    </row>
    <row r="135" spans="2:4" x14ac:dyDescent="0.2">
      <c r="B135" s="4" t="str">
        <v>Taxes</v>
      </c>
      <c r="C135" s="1">
        <v>0</v>
      </c>
      <c r="D135" s="17"/>
    </row>
    <row r="136" spans="2:4" x14ac:dyDescent="0.2">
      <c r="B136" s="4">
        <v>0</v>
      </c>
      <c r="C136" s="1" t="str">
        <v>Property tax</v>
      </c>
      <c r="D136" s="52"/>
    </row>
    <row r="137" spans="2:4" x14ac:dyDescent="0.2">
      <c r="B137" s="4">
        <v>0</v>
      </c>
      <c r="C137" s="1" t="str">
        <v>Vehicle tax</v>
      </c>
      <c r="D137" s="44"/>
    </row>
    <row r="138" spans="2:4" x14ac:dyDescent="0.2">
      <c r="B138" s="4">
        <v>0</v>
      </c>
      <c r="C138" s="1" t="str">
        <v>Church tax</v>
      </c>
      <c r="D138" s="44"/>
    </row>
    <row r="139" spans="2:4" x14ac:dyDescent="0.2">
      <c r="B139" s="4">
        <v>0</v>
      </c>
      <c r="C139" s="1" t="str">
        <v>Capital gains tax</v>
      </c>
      <c r="D139" s="44"/>
    </row>
    <row r="140" spans="2:4" x14ac:dyDescent="0.2">
      <c r="B140" s="4">
        <v>0</v>
      </c>
      <c r="C140" s="1" t="str">
        <v>Gift tax</v>
      </c>
      <c r="D140" s="44"/>
    </row>
    <row r="141" spans="2:4" x14ac:dyDescent="0.2">
      <c r="B141" s="4">
        <v>0</v>
      </c>
      <c r="C141" s="1" t="str">
        <v>Transfer tax</v>
      </c>
      <c r="D141" s="44"/>
    </row>
    <row r="142" spans="2:4" x14ac:dyDescent="0.2">
      <c r="B142" s="4">
        <v>0</v>
      </c>
      <c r="C142" s="1" t="str">
        <v>Other personal taxes</v>
      </c>
      <c r="D142" s="44"/>
    </row>
    <row r="150" spans="1:12" x14ac:dyDescent="0.2">
      <c r="A150" s="6"/>
      <c r="B150" s="6"/>
      <c r="C150" s="6"/>
      <c r="D150" s="30">
        <f>SUM(D42:D149)</f>
        <v>0</v>
      </c>
      <c r="E150" s="6"/>
      <c r="F150" s="6"/>
      <c r="G150" s="6"/>
      <c r="H150" s="6"/>
      <c r="I150" s="6"/>
      <c r="J150" s="6"/>
      <c r="K150" s="6"/>
      <c r="L150" s="6"/>
    </row>
  </sheetData>
  <sheetProtection algorithmName="SHA-512" hashValue="lcwX1XELHickfcCCn4989ckoIc1c8cPAtoPfkoWqLTtrZztrV+K/9M198m1Wy5pV8+eKSyNcRiMtezv+Crq0xA==" saltValue="3rQ6BG8rFuVJZURY7FV4jw==" spinCount="100000" sheet="1" objects="1" scenarios="1" selectLockedCells="1"/>
  <mergeCells count="2">
    <mergeCell ref="B23:C23"/>
    <mergeCell ref="B2:I2"/>
  </mergeCells>
  <conditionalFormatting sqref="A1:D1 A1:B2 A3:D4 A5:C5 A23:B23 A40:XFD65 A66:I66 K66:XFD66 A67:XFD137 A138:C138 E138:XFD138 A139:XFD1048576">
    <cfRule type="cellIs" dxfId="41" priority="23" operator="equal">
      <formula>0</formula>
    </cfRule>
  </conditionalFormatting>
  <conditionalFormatting sqref="A1:XFD27 A28:B28 C28:XFD39">
    <cfRule type="cellIs" dxfId="40" priority="24" operator="equal">
      <formula>0</formula>
    </cfRule>
  </conditionalFormatting>
  <conditionalFormatting sqref="C7:C8">
    <cfRule type="expression" dxfId="39" priority="1">
      <formula>$D7&gt;0</formula>
    </cfRule>
  </conditionalFormatting>
  <conditionalFormatting sqref="C12:C21">
    <cfRule type="expression" dxfId="38" priority="9">
      <formula>AND(B11&gt;0,B12=0)</formula>
    </cfRule>
    <cfRule type="expression" dxfId="37" priority="10">
      <formula>B12=0</formula>
    </cfRule>
  </conditionalFormatting>
  <conditionalFormatting sqref="C27">
    <cfRule type="expression" dxfId="36" priority="3">
      <formula>$B$27&gt;0</formula>
    </cfRule>
  </conditionalFormatting>
  <conditionalFormatting sqref="D8">
    <cfRule type="cellIs" dxfId="35" priority="21" operator="equal">
      <formula>0</formula>
    </cfRule>
  </conditionalFormatting>
  <conditionalFormatting sqref="D29:D38">
    <cfRule type="expression" dxfId="34" priority="31">
      <formula>$C29&gt;0</formula>
    </cfRule>
  </conditionalFormatting>
  <conditionalFormatting sqref="E12:E21">
    <cfRule type="expression" dxfId="31" priority="14">
      <formula>AND(D11&gt;0,D12=0)</formula>
    </cfRule>
    <cfRule type="expression" dxfId="30" priority="20">
      <formula>D12=0</formula>
    </cfRule>
  </conditionalFormatting>
  <conditionalFormatting sqref="F29:F38">
    <cfRule type="expression" dxfId="29" priority="2">
      <formula>$E29&gt;0</formula>
    </cfRule>
  </conditionalFormatting>
  <dataValidations count="1">
    <dataValidation type="decimal" allowBlank="1" showInputMessage="1" showErrorMessage="1" sqref="C9" xr:uid="{B21BB268-6734-994D-8C4E-16347EC0FFAF}">
      <formula1>0</formula1>
      <formula2>157.5</formula2>
    </dataValidation>
  </dataValidations>
  <pageMargins left="0.7" right="0.7" top="0.75" bottom="0.75" header="0.3" footer="0.3"/>
  <pageSetup paperSize="9" orientation="portrait" horizontalDpi="0" verticalDpi="0"/>
  <ignoredErrors>
    <ignoredError sqref="E28" formula="1"/>
  </ignoredErrors>
  <drawing r:id="rId1"/>
  <extLst>
    <ext xmlns:x14="http://schemas.microsoft.com/office/spreadsheetml/2009/9/main" uri="{78C0D931-6437-407d-A8EE-F0AAD7539E65}">
      <x14:conditionalFormattings>
        <x14:conditionalFormatting xmlns:xm="http://schemas.microsoft.com/office/excel/2006/main">
          <x14:cfRule type="expression" priority="6" id="{1F2B3C30-9285-E648-B0F3-DF52C0624825}">
            <xm:f>$C$3='Luettelojen sisällöt'!$B$2</xm:f>
            <x14:dxf>
              <border>
                <left style="thin">
                  <color auto="1"/>
                </left>
                <right style="thin">
                  <color auto="1"/>
                </right>
                <top style="thin">
                  <color auto="1"/>
                </top>
                <bottom style="thin">
                  <color auto="1"/>
                </bottom>
                <vertical/>
                <horizontal/>
              </border>
            </x14:dxf>
          </x14:cfRule>
          <xm:sqref>D42:D50 D52:D63 D65:D71 D73:D79 D81:D88 D92:D99 D101:D104 D106:D112 D114:D120 D122:D126 D128:D134 D136:D142</xm:sqref>
        </x14:conditionalFormatting>
        <x14:conditionalFormatting xmlns:xm="http://schemas.microsoft.com/office/excel/2006/main">
          <x14:cfRule type="expression" priority="7" id="{A4CB4078-8A86-E04B-80F6-836534869C3D}">
            <xm:f>$C$3='Luettelojen sisällöt'!$B$3</xm:f>
            <x14:dxf>
              <border>
                <left style="thin">
                  <color auto="1"/>
                </left>
                <right style="thin">
                  <color auto="1"/>
                </right>
                <top style="thin">
                  <color auto="1"/>
                </top>
                <bottom style="thin">
                  <color auto="1"/>
                </bottom>
                <vertical/>
                <horizontal/>
              </border>
            </x14:dxf>
          </x14:cfRule>
          <xm:sqref>D42:D50 D52:D63 D65:D71 D73:D79 D81:D88</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r:uid="{088BF0CA-9CF7-DF4C-AC0A-BF2421092398}">
          <x14:formula1>
            <xm:f>'Luettelojen sisällöt'!$B$2:$B$3</xm:f>
          </x14:formula1>
          <xm:sqref>C3</xm:sqref>
        </x14:dataValidation>
        <x14:dataValidation type="list" allowBlank="1" showInputMessage="1" showErrorMessage="1" xr:uid="{53D918E2-4290-104E-846F-864F2807B2FF}">
          <x14:formula1>
            <xm:f>'Luettelojen sisällöt'!$D$2:$D$8</xm:f>
          </x14:formula1>
          <xm:sqref>C5</xm:sqref>
        </x14:dataValidation>
        <x14:dataValidation type="list" allowBlank="1" showInputMessage="1" showErrorMessage="1" xr:uid="{2744C599-C232-6A4A-97FF-F46FE4D42B00}">
          <x14:formula1>
            <xm:f>'Luettelojen sisällöt'!$C$1:$C$11</xm:f>
          </x14:formula1>
          <xm:sqref>C7:C8</xm:sqref>
        </x14:dataValidation>
        <x14:dataValidation type="list" allowBlank="1" showInputMessage="1" showErrorMessage="1" xr:uid="{345F4C5E-9F6C-2440-8423-D1E4173A5CBA}">
          <x14:formula1>
            <xm:f>'Luettelojen sisällöt'!$G$2:$G$3</xm:f>
          </x14:formula1>
          <xm:sqref>C25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CFE49D-1D25-EB41-BBDC-10A582FD0B35}">
  <dimension ref="A1:N60"/>
  <sheetViews>
    <sheetView showGridLines="0" zoomScale="99" workbookViewId="0">
      <selection activeCell="C36" sqref="C36"/>
    </sheetView>
  </sheetViews>
  <sheetFormatPr baseColWidth="10" defaultRowHeight="16" x14ac:dyDescent="0.2"/>
  <cols>
    <col min="1" max="1" width="19.6640625" style="1" customWidth="1"/>
    <col min="2" max="2" width="43.1640625" style="1" customWidth="1"/>
    <col min="3" max="8" width="12.83203125" style="1" customWidth="1"/>
    <col min="9" max="16384" width="10.83203125" style="1"/>
  </cols>
  <sheetData>
    <row r="1" spans="1:14" ht="102" customHeight="1" x14ac:dyDescent="0.2">
      <c r="A1" s="20" t="s">
        <v>59</v>
      </c>
      <c r="B1" s="20"/>
      <c r="C1" s="6"/>
      <c r="D1" s="6"/>
      <c r="E1" s="6"/>
      <c r="F1" s="6"/>
      <c r="G1" s="6"/>
      <c r="H1" s="6"/>
      <c r="I1" s="6"/>
      <c r="J1" s="6"/>
      <c r="K1" s="6"/>
      <c r="L1" s="6"/>
      <c r="M1" s="6"/>
      <c r="N1" s="6"/>
    </row>
    <row r="2" spans="1:14" ht="102" customHeight="1" x14ac:dyDescent="0.25">
      <c r="A2" s="67" t="s">
        <v>160</v>
      </c>
      <c r="B2" s="67"/>
      <c r="C2" s="67"/>
      <c r="D2" s="67"/>
      <c r="E2" s="67"/>
      <c r="F2" s="67"/>
      <c r="G2" s="67"/>
      <c r="H2" s="67"/>
      <c r="I2" s="67"/>
      <c r="J2" s="67"/>
      <c r="K2" s="67"/>
      <c r="L2" s="67"/>
      <c r="M2" s="7"/>
      <c r="N2" s="7"/>
    </row>
    <row r="4" spans="1:14" x14ac:dyDescent="0.2">
      <c r="A4" s="12" t="s">
        <v>60</v>
      </c>
      <c r="B4" s="50" t="s">
        <v>19</v>
      </c>
      <c r="C4" s="21">
        <f>IF(B4='Luettelojen sisällöt'!H2,21*7.5*12,IF('Time management'!B4='Luettelojen sisällöt'!H3,11*21*7.5,'Time management'!B5))</f>
        <v>1732.5</v>
      </c>
      <c r="D4" s="21" t="s">
        <v>15</v>
      </c>
    </row>
    <row r="5" spans="1:14" ht="26" customHeight="1" x14ac:dyDescent="0.2">
      <c r="A5" s="1">
        <f>IF(B4='Luettelojen sisällöt'!H4,"Tuntimäärä vuodessa:",0)</f>
        <v>0</v>
      </c>
      <c r="B5" s="44"/>
    </row>
    <row r="6" spans="1:14" ht="30" customHeight="1" x14ac:dyDescent="0.2">
      <c r="A6" s="22" t="s">
        <v>61</v>
      </c>
    </row>
    <row r="7" spans="1:14" ht="51" x14ac:dyDescent="0.2">
      <c r="A7" s="4" t="str">
        <f>IF(OR('Start here'!$C$5='Luettelojen sisällöt'!$D$3,'Start here'!$C$5='Luettelojen sisällöt'!$D$7),"Services",IF('Start here'!C5='Luettelojen sisällöt'!D4,0,"Products"))</f>
        <v>Products</v>
      </c>
      <c r="C7" s="54" t="str">
        <f>IF($A$7&gt;0,"Manufacturing/producing time",0)</f>
        <v>Manufacturing/producing time</v>
      </c>
      <c r="D7" s="1" t="str">
        <f>IF($A$7&gt;0,"Marketing",0)</f>
        <v>Marketing</v>
      </c>
      <c r="E7" s="54" t="str">
        <f>IF($A$7&gt;0,"Purchasing (of materials)",0)</f>
        <v>Purchasing (of materials)</v>
      </c>
      <c r="F7" s="1" t="str">
        <f>IF($A$7&gt;0,"Travel time",0)</f>
        <v>Travel time</v>
      </c>
      <c r="G7" s="1" t="str">
        <f>IF($A$7&gt;0,"Other time",0)</f>
        <v>Other time</v>
      </c>
      <c r="H7" s="4" t="str">
        <f>IF($A$7&gt;0,"Total",0)</f>
        <v>Total</v>
      </c>
    </row>
    <row r="8" spans="1:14" x14ac:dyDescent="0.2">
      <c r="A8" s="3">
        <f>IF('Start here'!B12&gt;0,1,0)</f>
        <v>0</v>
      </c>
      <c r="B8" s="1" cm="1">
        <f t="array" ref="B8:B17">'Start here'!C12:C21</f>
        <v>0</v>
      </c>
      <c r="C8" s="44"/>
      <c r="D8" s="44"/>
      <c r="E8" s="44"/>
      <c r="F8" s="44"/>
      <c r="G8" s="44"/>
      <c r="H8" s="1">
        <f>SUM(C8:G8)</f>
        <v>0</v>
      </c>
      <c r="I8" s="1">
        <f>IF(H8&gt;0,"hours per unit",0)</f>
        <v>0</v>
      </c>
    </row>
    <row r="9" spans="1:14" x14ac:dyDescent="0.2">
      <c r="A9" s="3">
        <v>0</v>
      </c>
      <c r="B9" s="1">
        <v>0</v>
      </c>
      <c r="C9" s="44"/>
      <c r="D9" s="44"/>
      <c r="E9" s="44"/>
      <c r="F9" s="44"/>
      <c r="G9" s="44"/>
      <c r="H9" s="1">
        <f t="shared" ref="H9:H16" si="0">SUM(C9:G9)</f>
        <v>0</v>
      </c>
      <c r="I9" s="1">
        <f t="shared" ref="I9:I17" si="1">IF(H9&gt;0,"hours per unit",0)</f>
        <v>0</v>
      </c>
    </row>
    <row r="10" spans="1:14" x14ac:dyDescent="0.2">
      <c r="A10" s="3">
        <f>IF('Start here'!B14&gt;0,1,0)</f>
        <v>0</v>
      </c>
      <c r="B10" s="1">
        <v>0</v>
      </c>
      <c r="C10" s="44"/>
      <c r="D10" s="44"/>
      <c r="E10" s="44"/>
      <c r="F10" s="44"/>
      <c r="G10" s="44"/>
      <c r="H10" s="1">
        <f t="shared" si="0"/>
        <v>0</v>
      </c>
      <c r="I10" s="1">
        <f t="shared" si="1"/>
        <v>0</v>
      </c>
    </row>
    <row r="11" spans="1:14" x14ac:dyDescent="0.2">
      <c r="A11" s="3">
        <v>0</v>
      </c>
      <c r="B11" s="1">
        <v>0</v>
      </c>
      <c r="C11" s="44"/>
      <c r="D11" s="44"/>
      <c r="E11" s="44"/>
      <c r="F11" s="44"/>
      <c r="G11" s="44"/>
      <c r="H11" s="1">
        <f t="shared" si="0"/>
        <v>0</v>
      </c>
      <c r="I11" s="1">
        <f t="shared" si="1"/>
        <v>0</v>
      </c>
    </row>
    <row r="12" spans="1:14" x14ac:dyDescent="0.2">
      <c r="A12" s="3">
        <f>IF('Start here'!B16&gt;0,1,0)</f>
        <v>0</v>
      </c>
      <c r="B12" s="1">
        <v>0</v>
      </c>
      <c r="C12" s="44"/>
      <c r="D12" s="44"/>
      <c r="E12" s="44"/>
      <c r="F12" s="44"/>
      <c r="G12" s="44"/>
      <c r="H12" s="1">
        <f t="shared" si="0"/>
        <v>0</v>
      </c>
      <c r="I12" s="1">
        <f t="shared" si="1"/>
        <v>0</v>
      </c>
    </row>
    <row r="13" spans="1:14" x14ac:dyDescent="0.2">
      <c r="A13" s="3">
        <v>0</v>
      </c>
      <c r="B13" s="1">
        <v>0</v>
      </c>
      <c r="C13" s="44"/>
      <c r="D13" s="44"/>
      <c r="E13" s="44"/>
      <c r="F13" s="44"/>
      <c r="G13" s="44"/>
      <c r="H13" s="1">
        <f t="shared" si="0"/>
        <v>0</v>
      </c>
      <c r="I13" s="1">
        <f t="shared" si="1"/>
        <v>0</v>
      </c>
    </row>
    <row r="14" spans="1:14" x14ac:dyDescent="0.2">
      <c r="A14" s="3">
        <f>IF('Start here'!B18&gt;0,1,0)</f>
        <v>0</v>
      </c>
      <c r="B14" s="1">
        <v>0</v>
      </c>
      <c r="C14" s="44"/>
      <c r="D14" s="44"/>
      <c r="E14" s="44"/>
      <c r="F14" s="44"/>
      <c r="G14" s="44"/>
      <c r="H14" s="1">
        <f t="shared" si="0"/>
        <v>0</v>
      </c>
      <c r="I14" s="1">
        <f t="shared" si="1"/>
        <v>0</v>
      </c>
    </row>
    <row r="15" spans="1:14" x14ac:dyDescent="0.2">
      <c r="A15" s="3">
        <v>0</v>
      </c>
      <c r="B15" s="1">
        <v>0</v>
      </c>
      <c r="C15" s="44"/>
      <c r="D15" s="44"/>
      <c r="E15" s="44"/>
      <c r="F15" s="44"/>
      <c r="G15" s="44"/>
      <c r="H15" s="1">
        <f t="shared" si="0"/>
        <v>0</v>
      </c>
      <c r="I15" s="1">
        <f t="shared" si="1"/>
        <v>0</v>
      </c>
    </row>
    <row r="16" spans="1:14" x14ac:dyDescent="0.2">
      <c r="A16" s="3">
        <f>IF('Start here'!B20&gt;0,1,0)</f>
        <v>0</v>
      </c>
      <c r="B16" s="1">
        <v>0</v>
      </c>
      <c r="C16" s="44"/>
      <c r="D16" s="44"/>
      <c r="E16" s="44"/>
      <c r="F16" s="44"/>
      <c r="G16" s="44"/>
      <c r="H16" s="1">
        <f t="shared" si="0"/>
        <v>0</v>
      </c>
      <c r="I16" s="1">
        <f t="shared" si="1"/>
        <v>0</v>
      </c>
    </row>
    <row r="17" spans="1:9" x14ac:dyDescent="0.2">
      <c r="A17" s="3">
        <v>0</v>
      </c>
      <c r="B17" s="1">
        <v>0</v>
      </c>
      <c r="C17" s="44"/>
      <c r="D17" s="44"/>
      <c r="E17" s="44"/>
      <c r="F17" s="44"/>
      <c r="G17" s="44"/>
      <c r="H17" s="1">
        <f>SUM(C17:G17)</f>
        <v>0</v>
      </c>
      <c r="I17" s="1">
        <f t="shared" si="1"/>
        <v>0</v>
      </c>
    </row>
    <row r="18" spans="1:9" s="4" customFormat="1" x14ac:dyDescent="0.2">
      <c r="A18" s="16">
        <f>IF(A7&gt;0,1,0)</f>
        <v>1</v>
      </c>
      <c r="C18" s="4">
        <f>SUM(C8:C17)</f>
        <v>0</v>
      </c>
      <c r="D18" s="4">
        <f t="shared" ref="D18:G18" si="2">SUM(D8:D17)</f>
        <v>0</v>
      </c>
      <c r="E18" s="4">
        <f t="shared" si="2"/>
        <v>0</v>
      </c>
      <c r="F18" s="4">
        <f t="shared" si="2"/>
        <v>0</v>
      </c>
      <c r="G18" s="4">
        <f t="shared" si="2"/>
        <v>0</v>
      </c>
      <c r="H18" s="4">
        <f>SUM(C18:G18)</f>
        <v>0</v>
      </c>
      <c r="I18" s="4">
        <f>IF(H18&gt;0,"hours",0)</f>
        <v>0</v>
      </c>
    </row>
    <row r="19" spans="1:9" x14ac:dyDescent="0.2">
      <c r="A19" s="4" t="str">
        <f>IF(OR('Start here'!$C$5='Luettelojen sisällöt'!$D$5,'Start here'!$C$5='Luettelojen sisällöt'!$D$8),"Services",0)</f>
        <v>Services</v>
      </c>
      <c r="C19" s="44"/>
      <c r="D19" s="44"/>
      <c r="E19" s="44"/>
      <c r="F19" s="44"/>
      <c r="G19" s="44"/>
      <c r="H19" s="1">
        <f>SUM(C19:G19)</f>
        <v>0</v>
      </c>
      <c r="I19" s="1">
        <f>IF(H19&gt;0,"tuntia",0)</f>
        <v>0</v>
      </c>
    </row>
    <row r="20" spans="1:9" x14ac:dyDescent="0.2">
      <c r="A20" s="3">
        <f>IF('Start here'!D12&gt;0,1,0)</f>
        <v>0</v>
      </c>
      <c r="B20" s="1" cm="1">
        <f t="array" ref="B20:B29">'Start here'!E12:E21</f>
        <v>0</v>
      </c>
      <c r="C20" s="44"/>
      <c r="D20" s="44"/>
      <c r="E20" s="44"/>
      <c r="F20" s="44"/>
      <c r="G20" s="44"/>
      <c r="H20" s="1">
        <f t="shared" ref="H20:H29" si="3">SUM(C20:G20)</f>
        <v>0</v>
      </c>
      <c r="I20" s="1">
        <f>IF(H20&gt;0,"hours per unit",0)</f>
        <v>0</v>
      </c>
    </row>
    <row r="21" spans="1:9" x14ac:dyDescent="0.2">
      <c r="A21" s="3">
        <v>0</v>
      </c>
      <c r="B21" s="1">
        <v>0</v>
      </c>
      <c r="C21" s="44"/>
      <c r="D21" s="44"/>
      <c r="E21" s="44"/>
      <c r="F21" s="44"/>
      <c r="G21" s="44"/>
      <c r="H21" s="1">
        <f t="shared" si="3"/>
        <v>0</v>
      </c>
      <c r="I21" s="1">
        <f t="shared" ref="I21:I29" si="4">IF(H21&gt;0,"hours per unit",0)</f>
        <v>0</v>
      </c>
    </row>
    <row r="22" spans="1:9" x14ac:dyDescent="0.2">
      <c r="A22" s="3">
        <f>IF('Start here'!D14&gt;0,1,0)</f>
        <v>0</v>
      </c>
      <c r="B22" s="1">
        <v>0</v>
      </c>
      <c r="C22" s="44"/>
      <c r="D22" s="44"/>
      <c r="E22" s="44"/>
      <c r="F22" s="44"/>
      <c r="G22" s="44"/>
      <c r="H22" s="1">
        <f t="shared" si="3"/>
        <v>0</v>
      </c>
      <c r="I22" s="1">
        <f t="shared" si="4"/>
        <v>0</v>
      </c>
    </row>
    <row r="23" spans="1:9" x14ac:dyDescent="0.2">
      <c r="A23" s="3">
        <v>0</v>
      </c>
      <c r="B23" s="1">
        <v>0</v>
      </c>
      <c r="C23" s="44"/>
      <c r="D23" s="44"/>
      <c r="E23" s="44"/>
      <c r="F23" s="44"/>
      <c r="G23" s="44"/>
      <c r="H23" s="1">
        <f t="shared" si="3"/>
        <v>0</v>
      </c>
      <c r="I23" s="1">
        <f t="shared" si="4"/>
        <v>0</v>
      </c>
    </row>
    <row r="24" spans="1:9" x14ac:dyDescent="0.2">
      <c r="A24" s="3">
        <f>IF('Start here'!D16&gt;0,1,0)</f>
        <v>0</v>
      </c>
      <c r="B24" s="1">
        <v>0</v>
      </c>
      <c r="C24" s="44"/>
      <c r="D24" s="44"/>
      <c r="E24" s="44"/>
      <c r="F24" s="44"/>
      <c r="G24" s="44"/>
      <c r="H24" s="1">
        <f t="shared" si="3"/>
        <v>0</v>
      </c>
      <c r="I24" s="1">
        <f t="shared" si="4"/>
        <v>0</v>
      </c>
    </row>
    <row r="25" spans="1:9" x14ac:dyDescent="0.2">
      <c r="A25" s="3">
        <v>0</v>
      </c>
      <c r="B25" s="1">
        <v>0</v>
      </c>
      <c r="C25" s="44"/>
      <c r="D25" s="44"/>
      <c r="E25" s="44"/>
      <c r="F25" s="44"/>
      <c r="G25" s="44"/>
      <c r="H25" s="1">
        <f t="shared" si="3"/>
        <v>0</v>
      </c>
      <c r="I25" s="1">
        <f t="shared" si="4"/>
        <v>0</v>
      </c>
    </row>
    <row r="26" spans="1:9" x14ac:dyDescent="0.2">
      <c r="A26" s="3">
        <f>IF('Start here'!D18&gt;0,1,0)</f>
        <v>0</v>
      </c>
      <c r="B26" s="1">
        <v>0</v>
      </c>
      <c r="C26" s="44"/>
      <c r="D26" s="44"/>
      <c r="E26" s="44"/>
      <c r="F26" s="44"/>
      <c r="G26" s="44"/>
      <c r="H26" s="1">
        <f t="shared" si="3"/>
        <v>0</v>
      </c>
      <c r="I26" s="1">
        <f t="shared" si="4"/>
        <v>0</v>
      </c>
    </row>
    <row r="27" spans="1:9" x14ac:dyDescent="0.2">
      <c r="A27" s="3">
        <v>0</v>
      </c>
      <c r="B27" s="1">
        <v>0</v>
      </c>
      <c r="C27" s="44"/>
      <c r="D27" s="44"/>
      <c r="E27" s="44"/>
      <c r="F27" s="44"/>
      <c r="G27" s="44"/>
      <c r="H27" s="1">
        <f t="shared" si="3"/>
        <v>0</v>
      </c>
      <c r="I27" s="1">
        <f t="shared" si="4"/>
        <v>0</v>
      </c>
    </row>
    <row r="28" spans="1:9" x14ac:dyDescent="0.2">
      <c r="A28" s="3">
        <f>IF('Start here'!D20&gt;0,1,0)</f>
        <v>0</v>
      </c>
      <c r="B28" s="1">
        <v>0</v>
      </c>
      <c r="C28" s="44"/>
      <c r="D28" s="44"/>
      <c r="E28" s="44"/>
      <c r="F28" s="44"/>
      <c r="G28" s="44"/>
      <c r="H28" s="1">
        <f t="shared" si="3"/>
        <v>0</v>
      </c>
      <c r="I28" s="1">
        <f t="shared" si="4"/>
        <v>0</v>
      </c>
    </row>
    <row r="29" spans="1:9" x14ac:dyDescent="0.2">
      <c r="A29" s="3">
        <v>0</v>
      </c>
      <c r="B29" s="1">
        <v>0</v>
      </c>
      <c r="C29" s="44"/>
      <c r="D29" s="44"/>
      <c r="E29" s="44"/>
      <c r="F29" s="44"/>
      <c r="G29" s="44"/>
      <c r="H29" s="1">
        <f t="shared" si="3"/>
        <v>0</v>
      </c>
      <c r="I29" s="1">
        <f t="shared" si="4"/>
        <v>0</v>
      </c>
    </row>
    <row r="30" spans="1:9" x14ac:dyDescent="0.2">
      <c r="A30" s="3">
        <f>IF(A19&gt;0,1,0)</f>
        <v>1</v>
      </c>
      <c r="C30" s="4">
        <f>SUM(C20:C29)</f>
        <v>0</v>
      </c>
      <c r="D30" s="1">
        <f t="shared" ref="D30:G30" si="5">SUM(D20:D29)</f>
        <v>0</v>
      </c>
      <c r="E30" s="1">
        <f t="shared" si="5"/>
        <v>0</v>
      </c>
      <c r="F30" s="1">
        <f t="shared" si="5"/>
        <v>0</v>
      </c>
      <c r="G30" s="1">
        <f t="shared" si="5"/>
        <v>0</v>
      </c>
      <c r="H30" s="4">
        <f>SUM(C30:G30)</f>
        <v>0</v>
      </c>
      <c r="I30" s="4">
        <f>IF(H30&gt;0,"hours",0)</f>
        <v>0</v>
      </c>
    </row>
    <row r="32" spans="1:9" ht="18" customHeight="1" x14ac:dyDescent="0.2">
      <c r="A32" s="4"/>
    </row>
    <row r="33" spans="1:8" ht="41" customHeight="1" x14ac:dyDescent="0.2">
      <c r="A33" s="66" t="s">
        <v>62</v>
      </c>
      <c r="B33" s="66"/>
      <c r="C33" s="66"/>
      <c r="D33" s="66"/>
      <c r="E33" s="66"/>
      <c r="F33" s="66"/>
      <c r="G33" s="66"/>
      <c r="H33" s="5"/>
    </row>
    <row r="35" spans="1:8" x14ac:dyDescent="0.2">
      <c r="A35" s="4" t="s">
        <v>63</v>
      </c>
      <c r="C35" s="14" t="s">
        <v>15</v>
      </c>
      <c r="D35" s="4"/>
    </row>
    <row r="36" spans="1:8" x14ac:dyDescent="0.2">
      <c r="B36" s="57" t="s">
        <v>64</v>
      </c>
      <c r="C36" s="48"/>
    </row>
    <row r="37" spans="1:8" x14ac:dyDescent="0.2">
      <c r="B37" s="58" t="s">
        <v>65</v>
      </c>
      <c r="C37" s="45"/>
    </row>
    <row r="38" spans="1:8" x14ac:dyDescent="0.2">
      <c r="B38" s="59" t="s">
        <v>66</v>
      </c>
      <c r="C38" s="48"/>
    </row>
    <row r="39" spans="1:8" x14ac:dyDescent="0.2">
      <c r="B39" s="60" t="s">
        <v>67</v>
      </c>
      <c r="C39" s="45"/>
    </row>
    <row r="40" spans="1:8" x14ac:dyDescent="0.2">
      <c r="B40" s="59" t="s">
        <v>68</v>
      </c>
      <c r="C40" s="48"/>
    </row>
    <row r="41" spans="1:8" x14ac:dyDescent="0.2">
      <c r="B41" s="60" t="s">
        <v>69</v>
      </c>
      <c r="C41" s="45"/>
    </row>
    <row r="42" spans="1:8" ht="17" thickBot="1" x14ac:dyDescent="0.25">
      <c r="B42" s="61" t="s">
        <v>70</v>
      </c>
      <c r="C42" s="49"/>
    </row>
    <row r="43" spans="1:8" ht="17" thickTop="1" x14ac:dyDescent="0.2">
      <c r="B43" s="62" t="s">
        <v>71</v>
      </c>
      <c r="C43" s="15">
        <f>SUM(C36:C42)</f>
        <v>0</v>
      </c>
    </row>
    <row r="60" spans="1:14" x14ac:dyDescent="0.2">
      <c r="A60" s="6"/>
      <c r="B60" s="6"/>
      <c r="C60" s="6"/>
      <c r="D60" s="6"/>
      <c r="E60" s="6"/>
      <c r="F60" s="6"/>
      <c r="G60" s="6"/>
      <c r="H60" s="6"/>
      <c r="I60" s="6"/>
      <c r="J60" s="6"/>
      <c r="K60" s="6"/>
      <c r="L60" s="6"/>
      <c r="M60" s="6"/>
      <c r="N60" s="6"/>
    </row>
  </sheetData>
  <sheetProtection algorithmName="SHA-512" hashValue="H19snjSBTGApkp1xdxD45c2svUHJlMklSowqGLVC6QIWbahqNJzzpzlnIG4DHOXeNYfPuQNVMd4tmYLyjs5wMg==" saltValue="t4gors0EzgRMKlMh0rKyHA==" spinCount="100000" sheet="1" objects="1" scenarios="1" selectLockedCells="1"/>
  <mergeCells count="2">
    <mergeCell ref="A33:G33"/>
    <mergeCell ref="A2:L2"/>
  </mergeCells>
  <conditionalFormatting sqref="A8:A17">
    <cfRule type="cellIs" dxfId="28" priority="9" operator="equal">
      <formula>0</formula>
    </cfRule>
  </conditionalFormatting>
  <conditionalFormatting sqref="A1:XFD1 A2 M2:XFD2 A3:XFD1048576">
    <cfRule type="cellIs" dxfId="27" priority="17" operator="equal">
      <formula>0</formula>
    </cfRule>
  </conditionalFormatting>
  <conditionalFormatting sqref="B5">
    <cfRule type="expression" dxfId="26" priority="1">
      <formula>$A$5&gt;0</formula>
    </cfRule>
  </conditionalFormatting>
  <conditionalFormatting sqref="B8:G17">
    <cfRule type="expression" dxfId="25" priority="10">
      <formula>$A8=1</formula>
    </cfRule>
  </conditionalFormatting>
  <conditionalFormatting sqref="B20:G29">
    <cfRule type="expression" dxfId="24" priority="8">
      <formula>$A20=1</formula>
    </cfRule>
  </conditionalFormatting>
  <conditionalFormatting sqref="B18:H18">
    <cfRule type="expression" dxfId="23" priority="6">
      <formula>$A18=1</formula>
    </cfRule>
  </conditionalFormatting>
  <conditionalFormatting sqref="B30:H30">
    <cfRule type="expression" dxfId="22" priority="7">
      <formula>$A30=1</formula>
    </cfRule>
  </conditionalFormatting>
  <conditionalFormatting sqref="C8:G17">
    <cfRule type="expression" dxfId="21" priority="3">
      <formula>$B8&gt;0</formula>
    </cfRule>
  </conditionalFormatting>
  <conditionalFormatting sqref="C20:G29">
    <cfRule type="expression" dxfId="20" priority="2">
      <formula>$B20&gt;0</formula>
    </cfRule>
  </conditionalFormatting>
  <conditionalFormatting sqref="H8:H18">
    <cfRule type="expression" dxfId="19" priority="5">
      <formula>$A8=1</formula>
    </cfRule>
  </conditionalFormatting>
  <conditionalFormatting sqref="H20:H29">
    <cfRule type="expression" dxfId="18" priority="4">
      <formula>$A20=1</formula>
    </cfRule>
  </conditionalFormatting>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546B3444-BFB8-954E-859A-F9612D344DB5}">
          <x14:formula1>
            <xm:f>'Luettelojen sisällöt'!$H$2:$H$4</xm:f>
          </x14:formula1>
          <xm:sqref>B4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15AE4-5250-6A48-834C-898ADC9D3635}">
  <dimension ref="A1:O45"/>
  <sheetViews>
    <sheetView showGridLines="0" zoomScale="115" workbookViewId="0">
      <selection activeCell="C10" sqref="C10"/>
    </sheetView>
  </sheetViews>
  <sheetFormatPr baseColWidth="10" defaultRowHeight="16" x14ac:dyDescent="0.2"/>
  <cols>
    <col min="1" max="1" width="14.83203125" style="1" customWidth="1"/>
    <col min="2" max="2" width="43.1640625" style="1" customWidth="1"/>
    <col min="3" max="3" width="16.33203125" style="1" customWidth="1"/>
    <col min="4" max="4" width="15.6640625" style="1" customWidth="1"/>
    <col min="5" max="5" width="15.33203125" style="1" customWidth="1"/>
    <col min="6" max="16384" width="10.83203125" style="1"/>
  </cols>
  <sheetData>
    <row r="1" spans="1:15" ht="102" customHeight="1" x14ac:dyDescent="0.2">
      <c r="A1" s="20" t="s">
        <v>72</v>
      </c>
      <c r="B1" s="39"/>
      <c r="C1" s="6"/>
      <c r="D1" s="6"/>
      <c r="E1" s="6"/>
      <c r="F1" s="6"/>
      <c r="G1" s="6"/>
      <c r="H1" s="6"/>
      <c r="I1" s="6"/>
      <c r="J1" s="6"/>
      <c r="K1" s="6"/>
      <c r="L1" s="6"/>
      <c r="M1" s="6"/>
      <c r="N1" s="6"/>
      <c r="O1" s="6"/>
    </row>
    <row r="2" spans="1:15" ht="102" customHeight="1" x14ac:dyDescent="0.25">
      <c r="A2" s="68" t="s">
        <v>73</v>
      </c>
      <c r="B2" s="68"/>
      <c r="C2" s="68"/>
      <c r="D2" s="68"/>
      <c r="E2" s="68"/>
      <c r="F2" s="68"/>
      <c r="G2" s="68"/>
      <c r="H2" s="7"/>
      <c r="I2" s="7"/>
      <c r="J2" s="7"/>
      <c r="K2" s="7"/>
      <c r="L2" s="7"/>
      <c r="M2" s="7"/>
      <c r="N2" s="7"/>
      <c r="O2" s="7"/>
    </row>
    <row r="3" spans="1:15" ht="47" customHeight="1" x14ac:dyDescent="0.2">
      <c r="A3" s="69" t="str">
        <f>CONCATENATE("On the previous tab, you estimated your yearly working hours to be ",'Time management'!C4," hours per year", " According to your estimate, running your business would take up ", 'Time management'!C43," hours per year")</f>
        <v>On the previous tab, you estimated your yearly working hours to be 1732,5 hours per year According to your estimate, running your business would take up 0 hours per year</v>
      </c>
      <c r="B3" s="69"/>
      <c r="C3" s="69"/>
      <c r="D3" s="63" t="str">
        <f>CONCATENATE("This means you have ",'Time management'!C4-'Time management'!C43, " hours left to plan")</f>
        <v>This means you have 1732,5 hours left to plan</v>
      </c>
    </row>
    <row r="5" spans="1:15" x14ac:dyDescent="0.2">
      <c r="B5" s="4" t="str">
        <f>IF(OR('Start here'!$C$5='Luettelojen sisällöt'!$D$4,'Start here'!$C$5='Luettelojen sisällöt'!$D$6,'Start here'!$C$5='Luettelojen sisällöt'!$D$7,'Start here'!$C$5='Luettelojen sisällöt'!$D$8),"Billable hours",0)</f>
        <v>Billable hours</v>
      </c>
      <c r="C5" s="13" t="s">
        <v>17</v>
      </c>
      <c r="D5" s="6" t="s">
        <v>87</v>
      </c>
      <c r="E5" s="6"/>
    </row>
    <row r="6" spans="1:15" x14ac:dyDescent="0.2">
      <c r="A6" s="16">
        <f>IF(OR('Start here'!$C$5='Luettelojen sisällöt'!$D$4,'Start here'!$C$5='Luettelojen sisällöt'!$D$6,'Start here'!$C$5='Luettelojen sisällöt'!$D$7,'Start here'!$C$5='Luettelojen sisällöt'!$D$8),1,0)</f>
        <v>1</v>
      </c>
      <c r="B6" s="19" t="str">
        <f>B5</f>
        <v>Billable hours</v>
      </c>
      <c r="C6" s="44"/>
      <c r="D6" s="1">
        <f>C6</f>
        <v>0</v>
      </c>
    </row>
    <row r="7" spans="1:15" x14ac:dyDescent="0.2">
      <c r="A7" s="4"/>
    </row>
    <row r="8" spans="1:15" x14ac:dyDescent="0.2">
      <c r="B8" s="4" t="str">
        <f>IF(OR('Start here'!$C$5='Luettelojen sisällöt'!$D$3,'Start here'!$C$5='Luettelojen sisällöt'!$D$7),"Services",IF('Start here'!C5='Luettelojen sisällöt'!D4,0,"Products"))</f>
        <v>Products</v>
      </c>
      <c r="C8" s="13" t="s">
        <v>17</v>
      </c>
    </row>
    <row r="9" spans="1:15" x14ac:dyDescent="0.2">
      <c r="A9" s="3">
        <f>IF('Start here'!B12&gt;0,1,0)</f>
        <v>0</v>
      </c>
      <c r="B9" s="1" cm="1">
        <f t="array" ref="B9:B18">'Start here'!C12:C21</f>
        <v>0</v>
      </c>
      <c r="C9" s="44"/>
      <c r="D9" s="1">
        <f>IF(B9&gt;0,C9*'Time management'!H8,0)</f>
        <v>0</v>
      </c>
      <c r="E9" s="1">
        <f>IF(D9&gt;0,"Hours",0)</f>
        <v>0</v>
      </c>
    </row>
    <row r="10" spans="1:15" x14ac:dyDescent="0.2">
      <c r="A10" s="3">
        <f>IF('Start here'!B13&gt;0,1,0)</f>
        <v>0</v>
      </c>
      <c r="B10" s="1">
        <v>0</v>
      </c>
      <c r="C10" s="44"/>
      <c r="D10" s="1">
        <f>IF(B10&gt;0,C10*'Time management'!H9,0)</f>
        <v>0</v>
      </c>
      <c r="E10" s="1">
        <f t="shared" ref="E10:E18" si="0">IF(D10&gt;0,"Hours",0)</f>
        <v>0</v>
      </c>
    </row>
    <row r="11" spans="1:15" x14ac:dyDescent="0.2">
      <c r="A11" s="3">
        <f>IF('Start here'!B14&gt;0,1,0)</f>
        <v>0</v>
      </c>
      <c r="B11" s="1">
        <v>0</v>
      </c>
      <c r="C11" s="44"/>
      <c r="D11" s="1">
        <f>IF(B11&gt;0,C11*'Time management'!H10,0)</f>
        <v>0</v>
      </c>
      <c r="E11" s="1">
        <f t="shared" si="0"/>
        <v>0</v>
      </c>
    </row>
    <row r="12" spans="1:15" x14ac:dyDescent="0.2">
      <c r="A12" s="3">
        <f>IF('Start here'!B15&gt;0,1,0)</f>
        <v>0</v>
      </c>
      <c r="B12" s="1">
        <v>0</v>
      </c>
      <c r="C12" s="44"/>
      <c r="D12" s="1">
        <f>IF(B12&gt;0,C12*'Time management'!H11,0)</f>
        <v>0</v>
      </c>
      <c r="E12" s="1">
        <f t="shared" si="0"/>
        <v>0</v>
      </c>
    </row>
    <row r="13" spans="1:15" x14ac:dyDescent="0.2">
      <c r="A13" s="3">
        <f>IF('Start here'!B16&gt;0,1,0)</f>
        <v>0</v>
      </c>
      <c r="B13" s="1">
        <v>0</v>
      </c>
      <c r="C13" s="44"/>
      <c r="D13" s="1">
        <f>IF(B13&gt;0,C13*'Time management'!H12,0)</f>
        <v>0</v>
      </c>
      <c r="E13" s="1">
        <f t="shared" si="0"/>
        <v>0</v>
      </c>
    </row>
    <row r="14" spans="1:15" x14ac:dyDescent="0.2">
      <c r="A14" s="3">
        <f>IF('Start here'!B17&gt;0,1,0)</f>
        <v>0</v>
      </c>
      <c r="B14" s="1">
        <v>0</v>
      </c>
      <c r="C14" s="44"/>
      <c r="D14" s="1">
        <f>IF(B14&gt;0,C14*'Time management'!H13,0)</f>
        <v>0</v>
      </c>
      <c r="E14" s="1">
        <f t="shared" si="0"/>
        <v>0</v>
      </c>
    </row>
    <row r="15" spans="1:15" x14ac:dyDescent="0.2">
      <c r="A15" s="3">
        <f>IF('Start here'!B18&gt;0,1,0)</f>
        <v>0</v>
      </c>
      <c r="B15" s="1">
        <v>0</v>
      </c>
      <c r="C15" s="44"/>
      <c r="D15" s="1">
        <f>IF(B15&gt;0,C15*'Time management'!H14,0)</f>
        <v>0</v>
      </c>
      <c r="E15" s="1">
        <f t="shared" si="0"/>
        <v>0</v>
      </c>
    </row>
    <row r="16" spans="1:15" x14ac:dyDescent="0.2">
      <c r="A16" s="3">
        <f>IF('Start here'!B19&gt;0,1,0)</f>
        <v>0</v>
      </c>
      <c r="B16" s="1">
        <v>0</v>
      </c>
      <c r="C16" s="44"/>
      <c r="D16" s="1">
        <f>IF(B16&gt;0,C16*'Time management'!H15,0)</f>
        <v>0</v>
      </c>
      <c r="E16" s="1">
        <f t="shared" si="0"/>
        <v>0</v>
      </c>
    </row>
    <row r="17" spans="1:11" x14ac:dyDescent="0.2">
      <c r="A17" s="3">
        <f>IF('Start here'!B20&gt;0,1,0)</f>
        <v>0</v>
      </c>
      <c r="B17" s="1">
        <v>0</v>
      </c>
      <c r="C17" s="44"/>
      <c r="D17" s="1">
        <f>IF(B17&gt;0,C17*'Time management'!H16,0)</f>
        <v>0</v>
      </c>
      <c r="E17" s="1">
        <f t="shared" si="0"/>
        <v>0</v>
      </c>
    </row>
    <row r="18" spans="1:11" x14ac:dyDescent="0.2">
      <c r="A18" s="3">
        <f>IF('Start here'!B21&gt;0,1,0)</f>
        <v>0</v>
      </c>
      <c r="B18" s="1">
        <v>0</v>
      </c>
      <c r="C18" s="44"/>
      <c r="D18" s="1">
        <f>IF(B18&gt;0,C18*'Time management'!H17,0)</f>
        <v>0</v>
      </c>
      <c r="E18" s="1">
        <f t="shared" si="0"/>
        <v>0</v>
      </c>
    </row>
    <row r="19" spans="1:11" x14ac:dyDescent="0.2">
      <c r="A19" s="3"/>
      <c r="E19" s="1">
        <f t="shared" ref="E19:E21" si="1">IF(D19&gt;0,"Tuntia",0)</f>
        <v>0</v>
      </c>
    </row>
    <row r="20" spans="1:11" x14ac:dyDescent="0.2">
      <c r="A20" s="3"/>
      <c r="B20" s="4" t="str">
        <f>IF(OR('Start here'!$C$5='Luettelojen sisällöt'!$D$5,'Start here'!$C$5='Luettelojen sisällöt'!$D$8),"Services",0)</f>
        <v>Services</v>
      </c>
      <c r="C20" s="13" t="s">
        <v>17</v>
      </c>
      <c r="E20" s="1">
        <f t="shared" si="1"/>
        <v>0</v>
      </c>
    </row>
    <row r="21" spans="1:11" x14ac:dyDescent="0.2">
      <c r="A21" s="3">
        <f>IF('Start here'!D12&gt;0,1,0)</f>
        <v>0</v>
      </c>
      <c r="B21" s="1" cm="1">
        <f t="array" ref="B21:B30">'Start here'!E12:E21</f>
        <v>0</v>
      </c>
      <c r="C21" s="44"/>
      <c r="D21" s="1">
        <f>IF(B21&gt;0,C21*'Time management'!H20,0)</f>
        <v>0</v>
      </c>
      <c r="E21" s="1">
        <f t="shared" si="1"/>
        <v>0</v>
      </c>
    </row>
    <row r="22" spans="1:11" x14ac:dyDescent="0.2">
      <c r="A22" s="3">
        <f>IF('Start here'!D13&gt;0,1,0)</f>
        <v>0</v>
      </c>
      <c r="B22" s="1">
        <v>0</v>
      </c>
      <c r="C22" s="44"/>
      <c r="D22" s="1">
        <f>IF(B22&gt;0,C22*'Time management'!H21,0)</f>
        <v>0</v>
      </c>
      <c r="E22" s="1">
        <f>IF(D22&gt;0,"Hours",0)</f>
        <v>0</v>
      </c>
    </row>
    <row r="23" spans="1:11" x14ac:dyDescent="0.2">
      <c r="A23" s="3">
        <f>IF('Start here'!D14&gt;0,1,0)</f>
        <v>0</v>
      </c>
      <c r="B23" s="1">
        <v>0</v>
      </c>
      <c r="C23" s="44"/>
      <c r="D23" s="1">
        <f>IF(B23&gt;0,C23*'Time management'!H22,0)</f>
        <v>0</v>
      </c>
      <c r="E23" s="1">
        <f t="shared" ref="E23:E30" si="2">IF(D23&gt;0,"Hours",0)</f>
        <v>0</v>
      </c>
      <c r="K23" s="1" t="str">
        <f>IF(D31&gt;('Time management'!C4-'Time management'!C43),"There isn't enough time!","There seems to be enough time!")</f>
        <v>There seems to be enough time!</v>
      </c>
    </row>
    <row r="24" spans="1:11" x14ac:dyDescent="0.2">
      <c r="A24" s="3">
        <f>IF('Start here'!D15&gt;0,1,0)</f>
        <v>0</v>
      </c>
      <c r="B24" s="1">
        <v>0</v>
      </c>
      <c r="C24" s="44"/>
      <c r="D24" s="1">
        <f>IF(B24&gt;0,C24*'Time management'!H23,0)</f>
        <v>0</v>
      </c>
      <c r="E24" s="1">
        <f t="shared" si="2"/>
        <v>0</v>
      </c>
    </row>
    <row r="25" spans="1:11" x14ac:dyDescent="0.2">
      <c r="A25" s="3">
        <f>IF('Start here'!D16&gt;0,1,0)</f>
        <v>0</v>
      </c>
      <c r="B25" s="1">
        <v>0</v>
      </c>
      <c r="C25" s="44"/>
      <c r="D25" s="1">
        <f>IF(B25&gt;0,C25*'Time management'!H24,0)</f>
        <v>0</v>
      </c>
      <c r="E25" s="1">
        <f t="shared" si="2"/>
        <v>0</v>
      </c>
    </row>
    <row r="26" spans="1:11" x14ac:dyDescent="0.2">
      <c r="A26" s="3">
        <f>IF('Start here'!D17&gt;0,1,0)</f>
        <v>0</v>
      </c>
      <c r="B26" s="1">
        <v>0</v>
      </c>
      <c r="C26" s="44"/>
      <c r="D26" s="1">
        <f>IF(B26&gt;0,C26*'Time management'!H25,0)</f>
        <v>0</v>
      </c>
      <c r="E26" s="1">
        <f t="shared" si="2"/>
        <v>0</v>
      </c>
    </row>
    <row r="27" spans="1:11" x14ac:dyDescent="0.2">
      <c r="A27" s="3">
        <f>IF('Start here'!D18&gt;0,1,0)</f>
        <v>0</v>
      </c>
      <c r="B27" s="1">
        <v>0</v>
      </c>
      <c r="C27" s="44"/>
      <c r="D27" s="1">
        <f>IF(B27&gt;0,C27*'Time management'!H26,0)</f>
        <v>0</v>
      </c>
      <c r="E27" s="1">
        <f t="shared" si="2"/>
        <v>0</v>
      </c>
    </row>
    <row r="28" spans="1:11" x14ac:dyDescent="0.2">
      <c r="A28" s="3">
        <f>IF('Start here'!D19&gt;0,1,0)</f>
        <v>0</v>
      </c>
      <c r="B28" s="1">
        <v>0</v>
      </c>
      <c r="C28" s="44"/>
      <c r="D28" s="1">
        <f>IF(B28&gt;0,C28*'Time management'!H27,0)</f>
        <v>0</v>
      </c>
      <c r="E28" s="1">
        <f t="shared" si="2"/>
        <v>0</v>
      </c>
    </row>
    <row r="29" spans="1:11" x14ac:dyDescent="0.2">
      <c r="A29" s="3">
        <f>IF('Start here'!D20&gt;0,1,0)</f>
        <v>0</v>
      </c>
      <c r="B29" s="1">
        <v>0</v>
      </c>
      <c r="C29" s="44"/>
      <c r="D29" s="1">
        <f>IF(B29&gt;0,C29*'Time management'!H28,0)</f>
        <v>0</v>
      </c>
      <c r="E29" s="1">
        <f t="shared" si="2"/>
        <v>0</v>
      </c>
    </row>
    <row r="30" spans="1:11" x14ac:dyDescent="0.2">
      <c r="A30" s="3">
        <f>IF('Start here'!D21&gt;0,1,0)</f>
        <v>0</v>
      </c>
      <c r="B30" s="1">
        <v>0</v>
      </c>
      <c r="C30" s="44"/>
      <c r="D30" s="1">
        <f>IF(B30&gt;0,C30*'Time management'!H29,0)</f>
        <v>0</v>
      </c>
      <c r="E30" s="1">
        <f t="shared" si="2"/>
        <v>0</v>
      </c>
    </row>
    <row r="31" spans="1:11" x14ac:dyDescent="0.2">
      <c r="A31" s="3"/>
      <c r="D31" s="1">
        <f>SUM(D6:D30)</f>
        <v>0</v>
      </c>
      <c r="E31" s="1">
        <f>IF(D31&gt;0,"Total hours",0)</f>
        <v>0</v>
      </c>
    </row>
    <row r="33" spans="1:15" x14ac:dyDescent="0.2">
      <c r="B33" s="4" t="s">
        <v>74</v>
      </c>
      <c r="C33" s="51"/>
      <c r="D33" s="1" t="s">
        <v>75</v>
      </c>
    </row>
    <row r="35" spans="1:15" x14ac:dyDescent="0.2">
      <c r="H35" s="1" t="str">
        <f>IF(C33=0,"Remember to fill in the profit goal!","Well planned!")</f>
        <v>Remember to fill in the profit goal!</v>
      </c>
    </row>
    <row r="36" spans="1:15" ht="16" customHeight="1" x14ac:dyDescent="0.2">
      <c r="B36" s="66" t="s">
        <v>152</v>
      </c>
      <c r="C36" s="66"/>
      <c r="D36" s="66"/>
      <c r="E36" s="66"/>
    </row>
    <row r="37" spans="1:15" x14ac:dyDescent="0.2">
      <c r="B37" s="66"/>
      <c r="C37" s="66"/>
      <c r="D37" s="66"/>
      <c r="E37" s="66"/>
    </row>
    <row r="38" spans="1:15" x14ac:dyDescent="0.2">
      <c r="B38" s="66"/>
      <c r="C38" s="66"/>
      <c r="D38" s="66"/>
      <c r="E38" s="66"/>
    </row>
    <row r="39" spans="1:15" x14ac:dyDescent="0.2">
      <c r="B39" s="66"/>
      <c r="C39" s="66"/>
      <c r="D39" s="66"/>
      <c r="E39" s="66"/>
    </row>
    <row r="40" spans="1:15" x14ac:dyDescent="0.2">
      <c r="B40" s="66"/>
      <c r="C40" s="66"/>
      <c r="D40" s="66"/>
      <c r="E40" s="66"/>
    </row>
    <row r="45" spans="1:15" x14ac:dyDescent="0.2">
      <c r="A45" s="6"/>
      <c r="B45" s="6"/>
      <c r="C45" s="6"/>
      <c r="D45" s="6"/>
      <c r="E45" s="6"/>
      <c r="F45" s="6"/>
      <c r="G45" s="6"/>
      <c r="H45" s="6"/>
      <c r="I45" s="6"/>
      <c r="J45" s="6"/>
      <c r="K45" s="6"/>
      <c r="L45" s="6"/>
      <c r="M45" s="6"/>
      <c r="N45" s="6"/>
      <c r="O45" s="6"/>
    </row>
  </sheetData>
  <sheetProtection algorithmName="SHA-512" hashValue="f03GTz+uXWUSSU5UMeUUppPXUDQfeV3IbKE1dQ1LKSsyPywUd5NvGri4lbPvzmD/FzonwpxRTUrkO9MScXRp0g==" saltValue="kjyiDpUtc3RW2vTI9hgLcw==" spinCount="100000" sheet="1" objects="1" scenarios="1" selectLockedCells="1"/>
  <mergeCells count="3">
    <mergeCell ref="A2:G2"/>
    <mergeCell ref="B36:E40"/>
    <mergeCell ref="A3:C3"/>
  </mergeCells>
  <conditionalFormatting sqref="A1:O1 P1:XFD2 H2:O2 A2:A3 D3:XFD4 A4:B4 B5:XFD5 A6:XFD27 A28:N28 P28:XFD28 A29:XFD34 A35:J35 L35:XFD35 A36:B36 F36:XFD40 A37:A40 A41:XFD1048576">
    <cfRule type="cellIs" dxfId="17" priority="15" operator="equal">
      <formula>0</formula>
    </cfRule>
  </conditionalFormatting>
  <conditionalFormatting sqref="B6">
    <cfRule type="expression" dxfId="16" priority="29">
      <formula>$A$6=1</formula>
    </cfRule>
  </conditionalFormatting>
  <conditionalFormatting sqref="B8">
    <cfRule type="cellIs" dxfId="15" priority="14" operator="equal">
      <formula>0</formula>
    </cfRule>
  </conditionalFormatting>
  <conditionalFormatting sqref="B9:B30">
    <cfRule type="expression" dxfId="14" priority="9">
      <formula>$A9=1</formula>
    </cfRule>
  </conditionalFormatting>
  <conditionalFormatting sqref="B20">
    <cfRule type="cellIs" dxfId="13" priority="13" operator="equal">
      <formula>0</formula>
    </cfRule>
  </conditionalFormatting>
  <conditionalFormatting sqref="C5">
    <cfRule type="expression" dxfId="12" priority="1">
      <formula>$B$8=0</formula>
    </cfRule>
    <cfRule type="expression" dxfId="11" priority="2">
      <formula>$B$5=0</formula>
    </cfRule>
  </conditionalFormatting>
  <conditionalFormatting sqref="C6">
    <cfRule type="expression" dxfId="10" priority="7">
      <formula>$A$6=1</formula>
    </cfRule>
  </conditionalFormatting>
  <conditionalFormatting sqref="C8">
    <cfRule type="expression" dxfId="9" priority="4">
      <formula>$B$8=0</formula>
    </cfRule>
  </conditionalFormatting>
  <conditionalFormatting sqref="C9:C18">
    <cfRule type="expression" dxfId="8" priority="11">
      <formula>$A9=1</formula>
    </cfRule>
  </conditionalFormatting>
  <conditionalFormatting sqref="C20">
    <cfRule type="expression" dxfId="7" priority="3">
      <formula>$B$20=0</formula>
    </cfRule>
  </conditionalFormatting>
  <conditionalFormatting sqref="C21:C30">
    <cfRule type="expression" dxfId="6" priority="10">
      <formula>$A21=1</formula>
    </cfRule>
  </conditionalFormatting>
  <conditionalFormatting sqref="D5:E31">
    <cfRule type="cellIs" dxfId="5" priority="6" operator="notEqual">
      <formula>0</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3F21B-C0DC-CC40-8B6B-90E4BC78A93E}">
  <dimension ref="A1:P39"/>
  <sheetViews>
    <sheetView showGridLines="0" zoomScale="117" workbookViewId="0">
      <selection activeCell="H5" sqref="H5"/>
    </sheetView>
  </sheetViews>
  <sheetFormatPr baseColWidth="10" defaultRowHeight="16" x14ac:dyDescent="0.2"/>
  <cols>
    <col min="1" max="1" width="32.83203125" style="1" customWidth="1"/>
    <col min="2" max="2" width="21.6640625" style="1" customWidth="1"/>
    <col min="3" max="3" width="16.6640625" style="24" customWidth="1"/>
    <col min="4" max="4" width="22" style="1" customWidth="1"/>
    <col min="5" max="5" width="21.6640625" style="1" customWidth="1"/>
    <col min="6" max="6" width="21.6640625" style="17" customWidth="1"/>
    <col min="7" max="7" width="21.5" style="17" customWidth="1"/>
    <col min="8" max="8" width="10.83203125" style="17"/>
    <col min="9" max="9" width="15.6640625" style="17" customWidth="1"/>
    <col min="10" max="10" width="21" style="1" customWidth="1"/>
    <col min="11" max="11" width="19.33203125" style="1" customWidth="1"/>
    <col min="12" max="16384" width="10.83203125" style="1"/>
  </cols>
  <sheetData>
    <row r="1" spans="1:16" ht="119" customHeight="1" x14ac:dyDescent="0.3">
      <c r="A1" s="20" t="s">
        <v>76</v>
      </c>
      <c r="B1" s="6"/>
      <c r="C1" s="23"/>
      <c r="D1" s="6"/>
      <c r="E1" s="6"/>
      <c r="F1" s="30"/>
      <c r="G1" s="30"/>
      <c r="H1" s="30"/>
      <c r="I1" s="30"/>
      <c r="J1" s="6"/>
      <c r="K1" s="6"/>
      <c r="L1" s="6"/>
      <c r="M1" s="6"/>
      <c r="N1" s="6"/>
      <c r="O1" s="6"/>
    </row>
    <row r="2" spans="1:16" ht="107" customHeight="1" x14ac:dyDescent="0.25">
      <c r="A2" s="68" t="s">
        <v>159</v>
      </c>
      <c r="B2" s="68"/>
      <c r="C2" s="68"/>
      <c r="D2" s="68"/>
      <c r="E2" s="68"/>
      <c r="F2" s="68"/>
      <c r="G2" s="68"/>
      <c r="H2" s="56"/>
      <c r="I2" s="56"/>
      <c r="J2" s="56"/>
      <c r="K2" s="56"/>
      <c r="L2" s="7"/>
      <c r="M2" s="7"/>
      <c r="N2" s="7"/>
      <c r="O2" s="7"/>
    </row>
    <row r="3" spans="1:16" x14ac:dyDescent="0.2">
      <c r="A3" s="1" t="s">
        <v>77</v>
      </c>
      <c r="B3" s="17">
        <f>'Start here'!D150+'Sales and profit goal'!C33</f>
        <v>0</v>
      </c>
    </row>
    <row r="4" spans="1:16" x14ac:dyDescent="0.2">
      <c r="A4" s="1" t="s">
        <v>78</v>
      </c>
      <c r="B4" s="1">
        <f>'Sales and profit goal'!D31</f>
        <v>0</v>
      </c>
    </row>
    <row r="5" spans="1:16" ht="34" x14ac:dyDescent="0.2">
      <c r="B5" s="18" t="s">
        <v>157</v>
      </c>
      <c r="C5" s="32" t="s">
        <v>1</v>
      </c>
      <c r="D5" s="33" t="s">
        <v>80</v>
      </c>
      <c r="E5" s="33" t="s">
        <v>81</v>
      </c>
      <c r="F5" s="31" t="s">
        <v>82</v>
      </c>
      <c r="G5" s="34" t="s">
        <v>83</v>
      </c>
      <c r="H5" s="50" t="s">
        <v>22</v>
      </c>
      <c r="I5" s="41" t="s">
        <v>84</v>
      </c>
      <c r="J5" s="1" t="s">
        <v>86</v>
      </c>
      <c r="K5" s="1" t="s">
        <v>85</v>
      </c>
      <c r="M5" s="3"/>
    </row>
    <row r="6" spans="1:16" x14ac:dyDescent="0.2">
      <c r="A6" s="35" t="s">
        <v>79</v>
      </c>
      <c r="B6" s="36">
        <f>SUM(B7:B30)</f>
        <v>0</v>
      </c>
      <c r="C6" s="37" t="e">
        <f>SUM(C7:C30)</f>
        <v>#DIV/0!</v>
      </c>
      <c r="D6" s="38">
        <f>SUM(M10:M30)</f>
        <v>0</v>
      </c>
      <c r="E6" s="36">
        <f t="shared" ref="E6:J6" si="0">SUM(E7:E30)</f>
        <v>0</v>
      </c>
      <c r="F6" s="38" t="e">
        <f t="shared" si="0"/>
        <v>#DIV/0!</v>
      </c>
      <c r="G6" s="38"/>
      <c r="H6" s="38"/>
      <c r="I6" s="42"/>
      <c r="J6" s="38" t="e">
        <f t="shared" si="0"/>
        <v>#DIV/0!</v>
      </c>
      <c r="K6" s="38" t="e">
        <f>SUM(K7:K30)</f>
        <v>#DIV/0!</v>
      </c>
      <c r="M6" s="3"/>
    </row>
    <row r="7" spans="1:16" x14ac:dyDescent="0.2">
      <c r="A7" s="4" t="str">
        <f>IF(OR('Start here'!C5='Luettelojen sisällöt'!D4,'Start here'!C5='Luettelojen sisällöt'!D6,'Start here'!C5='Luettelojen sisällöt'!D7,'Start here'!C5='Luettelojen sisällöt'!D8),"Billable hour",0)</f>
        <v>Billable hour</v>
      </c>
      <c r="B7" s="25">
        <f>IF(A7&gt;0,'Sales and profit goal'!D6,0)</f>
        <v>0</v>
      </c>
      <c r="C7" s="24" t="e">
        <f>B7/$B$4</f>
        <v>#DIV/0!</v>
      </c>
      <c r="D7" s="17"/>
      <c r="E7" s="1">
        <f>IF(A7&gt;0,'Sales and profit goal'!C6,0)</f>
        <v>0</v>
      </c>
      <c r="F7" s="17" t="e">
        <f>IF(A7&gt;0,$B$3*C7,0)</f>
        <v>#DIV/0!</v>
      </c>
      <c r="G7" s="10" t="e">
        <f>IF(A7&gt;0,F7/E7,0)</f>
        <v>#DIV/0!</v>
      </c>
      <c r="H7" s="17" t="e">
        <f>IF($H$5='Luettelojen sisällöt'!$I$2,0,IF($H$5='Luettelojen sisällöt'!$I$3,G7*0.255,G7*0.14))</f>
        <v>#DIV/0!</v>
      </c>
      <c r="I7" s="43" t="e">
        <f>G7+H7</f>
        <v>#DIV/0!</v>
      </c>
      <c r="J7" s="1" t="e">
        <f>I7*E7</f>
        <v>#DIV/0!</v>
      </c>
      <c r="K7" s="10" t="e">
        <f>E7*G7</f>
        <v>#DIV/0!</v>
      </c>
      <c r="M7" s="3"/>
    </row>
    <row r="8" spans="1:16" x14ac:dyDescent="0.2">
      <c r="B8" s="26"/>
      <c r="D8" s="17"/>
      <c r="I8" s="43"/>
      <c r="J8" s="17">
        <f t="shared" ref="J8:J31" si="1">I8*E8</f>
        <v>0</v>
      </c>
      <c r="K8" s="10"/>
      <c r="M8" s="3"/>
    </row>
    <row r="9" spans="1:16" x14ac:dyDescent="0.2">
      <c r="A9" s="4" t="str">
        <f>IF(OR('Start here'!$C$5='Luettelojen sisällöt'!D3,'Start here'!C5='Luettelojen sisällöt'!D7),"Services",IF('Start here'!C5='Luettelojen sisällöt'!D4,0,"Products"))</f>
        <v>Products</v>
      </c>
      <c r="B9" s="25"/>
      <c r="D9" s="17"/>
      <c r="I9" s="43"/>
      <c r="J9" s="17">
        <f t="shared" si="1"/>
        <v>0</v>
      </c>
      <c r="K9" s="10"/>
      <c r="M9" s="3"/>
    </row>
    <row r="10" spans="1:16" x14ac:dyDescent="0.2">
      <c r="A10" s="1" cm="1">
        <f t="array" ref="A10:A19">IF(NOT('Start here'!C5='Luettelojen sisällöt'!D4),'Start here'!C12:C21,0)</f>
        <v>0</v>
      </c>
      <c r="B10" s="29">
        <f>'Sales and profit goal'!D9</f>
        <v>0</v>
      </c>
      <c r="C10" s="24" t="e">
        <f>B10/$B$4</f>
        <v>#DIV/0!</v>
      </c>
      <c r="D10" s="17">
        <f>IF(A10&gt;0,IF('Start here'!$C$25='Luettelojen sisällöt'!$G$3,'Start here'!D29,'Start here'!$C$27/COUNTA('Start here'!$C$12:$C$21,'Start here'!$E$12:$E$21)),0)</f>
        <v>0</v>
      </c>
      <c r="E10" s="1">
        <f>'Sales and profit goal'!C9</f>
        <v>0</v>
      </c>
      <c r="F10" s="17" t="e">
        <f t="shared" ref="F10:F30" si="2">$B$3*C10</f>
        <v>#DIV/0!</v>
      </c>
      <c r="G10" s="17">
        <f>IF(E10&gt;0,(F10/E10)+D10,0)</f>
        <v>0</v>
      </c>
      <c r="H10" s="17">
        <f>IF($H$5='Luettelojen sisällöt'!$I$2,0,IF($H$5='Luettelojen sisällöt'!$I$3,G10*0.255,G10*0.14))</f>
        <v>0</v>
      </c>
      <c r="I10" s="43">
        <f t="shared" ref="I10:I30" si="3">G10+H10</f>
        <v>0</v>
      </c>
      <c r="J10" s="17">
        <f t="shared" si="1"/>
        <v>0</v>
      </c>
      <c r="K10" s="10">
        <f t="shared" ref="K10:K30" si="4">E10*G10</f>
        <v>0</v>
      </c>
      <c r="M10" s="55">
        <f>D10*E10</f>
        <v>0</v>
      </c>
    </row>
    <row r="11" spans="1:16" x14ac:dyDescent="0.2">
      <c r="A11" s="1">
        <v>0</v>
      </c>
      <c r="B11" s="29">
        <f>'Sales and profit goal'!D10</f>
        <v>0</v>
      </c>
      <c r="C11" s="24" t="e">
        <f t="shared" ref="C11:C19" si="5">B11/$B$4</f>
        <v>#DIV/0!</v>
      </c>
      <c r="D11" s="17">
        <f>IF(A11&gt;0,IF('Start here'!$C$25='Luettelojen sisällöt'!$G$3,'Start here'!D30,'Start here'!$C$27/COUNTA('Start here'!$C$12:$C$21,'Start here'!$E$12:$E$21)),0)</f>
        <v>0</v>
      </c>
      <c r="E11" s="1">
        <f>'Sales and profit goal'!C10</f>
        <v>0</v>
      </c>
      <c r="F11" s="17" t="e">
        <f t="shared" si="2"/>
        <v>#DIV/0!</v>
      </c>
      <c r="G11" s="17">
        <f>IF(E11&gt;0,(F11/E11)+D11,0)</f>
        <v>0</v>
      </c>
      <c r="H11" s="17">
        <f>IF($H$5='Luettelojen sisällöt'!$I$2,0,IF($H$5='Luettelojen sisällöt'!$I$3,G11*0.255,G11*0.14))</f>
        <v>0</v>
      </c>
      <c r="I11" s="43">
        <f t="shared" si="3"/>
        <v>0</v>
      </c>
      <c r="J11" s="17">
        <f t="shared" si="1"/>
        <v>0</v>
      </c>
      <c r="K11" s="10">
        <f t="shared" si="4"/>
        <v>0</v>
      </c>
      <c r="M11" s="55">
        <f t="shared" ref="M11:M30" si="6">D11*E11</f>
        <v>0</v>
      </c>
    </row>
    <row r="12" spans="1:16" x14ac:dyDescent="0.2">
      <c r="A12" s="1">
        <v>0</v>
      </c>
      <c r="B12" s="29">
        <f>'Sales and profit goal'!D11</f>
        <v>0</v>
      </c>
      <c r="C12" s="24" t="e">
        <f t="shared" si="5"/>
        <v>#DIV/0!</v>
      </c>
      <c r="D12" s="17">
        <f>IF(A12&gt;0,IF('Start here'!$C$25='Luettelojen sisällöt'!$G$3,'Start here'!D31,'Start here'!$C$27/COUNTA('Start here'!$C$12:$C$21,'Start here'!$E$12:$E$21)),0)</f>
        <v>0</v>
      </c>
      <c r="E12" s="1">
        <f>'Sales and profit goal'!C11</f>
        <v>0</v>
      </c>
      <c r="F12" s="17" t="e">
        <f t="shared" si="2"/>
        <v>#DIV/0!</v>
      </c>
      <c r="G12" s="17">
        <f t="shared" ref="G12:G30" si="7">IF(E12&gt;0,(F12/E12)+D12,0)</f>
        <v>0</v>
      </c>
      <c r="H12" s="17">
        <f>IF($H$5='Luettelojen sisällöt'!$I$2,0,IF($H$5='Luettelojen sisällöt'!$I$3,G12*0.255,G12*0.14))</f>
        <v>0</v>
      </c>
      <c r="I12" s="43">
        <f t="shared" si="3"/>
        <v>0</v>
      </c>
      <c r="J12" s="17">
        <f t="shared" si="1"/>
        <v>0</v>
      </c>
      <c r="K12" s="10">
        <f>E12*G12</f>
        <v>0</v>
      </c>
      <c r="M12" s="55">
        <f t="shared" si="6"/>
        <v>0</v>
      </c>
      <c r="O12" s="17"/>
      <c r="P12" s="17"/>
    </row>
    <row r="13" spans="1:16" x14ac:dyDescent="0.2">
      <c r="A13" s="1">
        <v>0</v>
      </c>
      <c r="B13" s="29">
        <f>'Sales and profit goal'!D12</f>
        <v>0</v>
      </c>
      <c r="C13" s="24" t="e">
        <f t="shared" si="5"/>
        <v>#DIV/0!</v>
      </c>
      <c r="D13" s="17">
        <f>IF(A13&gt;0,IF('Start here'!$C$25='Luettelojen sisällöt'!$G$3,'Start here'!D32,'Start here'!$C$27/COUNTA('Start here'!$C$12:$C$21,'Start here'!$E$12:$E$21)),0)</f>
        <v>0</v>
      </c>
      <c r="E13" s="1">
        <f>'Sales and profit goal'!C12</f>
        <v>0</v>
      </c>
      <c r="F13" s="17" t="e">
        <f t="shared" si="2"/>
        <v>#DIV/0!</v>
      </c>
      <c r="G13" s="17">
        <f t="shared" si="7"/>
        <v>0</v>
      </c>
      <c r="H13" s="17">
        <f>IF($H$5='Luettelojen sisällöt'!$I$2,0,IF($H$5='Luettelojen sisällöt'!$I$3,G13*0.255,G13*0.14))</f>
        <v>0</v>
      </c>
      <c r="I13" s="43">
        <f t="shared" si="3"/>
        <v>0</v>
      </c>
      <c r="J13" s="17">
        <f t="shared" si="1"/>
        <v>0</v>
      </c>
      <c r="K13" s="10">
        <f t="shared" si="4"/>
        <v>0</v>
      </c>
      <c r="M13" s="55">
        <f t="shared" si="6"/>
        <v>0</v>
      </c>
    </row>
    <row r="14" spans="1:16" x14ac:dyDescent="0.2">
      <c r="A14" s="1">
        <v>0</v>
      </c>
      <c r="B14" s="29">
        <f>'Sales and profit goal'!D13</f>
        <v>0</v>
      </c>
      <c r="C14" s="24" t="e">
        <f t="shared" si="5"/>
        <v>#DIV/0!</v>
      </c>
      <c r="D14" s="17">
        <f>IF(A14&gt;0,IF('Start here'!$C$25='Luettelojen sisällöt'!$G$3,'Start here'!D33,'Start here'!$C$27/COUNTA('Start here'!$C$12:$C$21,'Start here'!$E$12:$E$21)),0)</f>
        <v>0</v>
      </c>
      <c r="E14" s="1">
        <f>'Sales and profit goal'!C13</f>
        <v>0</v>
      </c>
      <c r="F14" s="17" t="e">
        <f t="shared" si="2"/>
        <v>#DIV/0!</v>
      </c>
      <c r="G14" s="17">
        <f t="shared" si="7"/>
        <v>0</v>
      </c>
      <c r="H14" s="17">
        <f>IF($H$5='Luettelojen sisällöt'!$I$2,0,IF($H$5='Luettelojen sisällöt'!$I$3,G14*0.255,G14*0.14))</f>
        <v>0</v>
      </c>
      <c r="I14" s="43">
        <f t="shared" si="3"/>
        <v>0</v>
      </c>
      <c r="J14" s="17">
        <f t="shared" si="1"/>
        <v>0</v>
      </c>
      <c r="K14" s="10">
        <f t="shared" si="4"/>
        <v>0</v>
      </c>
      <c r="M14" s="55">
        <f t="shared" si="6"/>
        <v>0</v>
      </c>
      <c r="P14" s="17"/>
    </row>
    <row r="15" spans="1:16" x14ac:dyDescent="0.2">
      <c r="A15" s="1">
        <v>0</v>
      </c>
      <c r="B15" s="29">
        <f>'Sales and profit goal'!D14</f>
        <v>0</v>
      </c>
      <c r="C15" s="24" t="e">
        <f t="shared" si="5"/>
        <v>#DIV/0!</v>
      </c>
      <c r="D15" s="17">
        <f>IF(A15&gt;0,IF('Start here'!$C$25='Luettelojen sisällöt'!$G$3,'Start here'!D34,'Start here'!$C$27/COUNTA('Start here'!$C$12:$C$21,'Start here'!$E$12:$E$21)),0)</f>
        <v>0</v>
      </c>
      <c r="E15" s="1">
        <f>'Sales and profit goal'!C14</f>
        <v>0</v>
      </c>
      <c r="F15" s="17" t="e">
        <f t="shared" si="2"/>
        <v>#DIV/0!</v>
      </c>
      <c r="G15" s="17">
        <f t="shared" si="7"/>
        <v>0</v>
      </c>
      <c r="H15" s="17">
        <f>IF($H$5='Luettelojen sisällöt'!$I$2,0,IF($H$5='Luettelojen sisällöt'!$I$3,G15*0.255,G15*0.14))</f>
        <v>0</v>
      </c>
      <c r="I15" s="40">
        <f t="shared" si="3"/>
        <v>0</v>
      </c>
      <c r="J15" s="17">
        <f t="shared" si="1"/>
        <v>0</v>
      </c>
      <c r="K15" s="10">
        <f t="shared" si="4"/>
        <v>0</v>
      </c>
      <c r="M15" s="55">
        <f t="shared" si="6"/>
        <v>0</v>
      </c>
      <c r="P15" s="17"/>
    </row>
    <row r="16" spans="1:16" x14ac:dyDescent="0.2">
      <c r="A16" s="1">
        <v>0</v>
      </c>
      <c r="B16" s="29">
        <f>'Sales and profit goal'!D15</f>
        <v>0</v>
      </c>
      <c r="C16" s="24" t="e">
        <f t="shared" si="5"/>
        <v>#DIV/0!</v>
      </c>
      <c r="D16" s="17">
        <f>IF(A16&gt;0,IF('Start here'!$C$25='Luettelojen sisällöt'!$G$3,'Start here'!D35,'Start here'!$C$27/COUNTA('Start here'!$C$12:$C$21,'Start here'!$E$12:$E$21)),0)</f>
        <v>0</v>
      </c>
      <c r="E16" s="1">
        <f>'Sales and profit goal'!C15</f>
        <v>0</v>
      </c>
      <c r="F16" s="17" t="e">
        <f t="shared" si="2"/>
        <v>#DIV/0!</v>
      </c>
      <c r="G16" s="17">
        <f t="shared" si="7"/>
        <v>0</v>
      </c>
      <c r="H16" s="17">
        <f>IF($H$5='Luettelojen sisällöt'!$I$2,0,IF($H$5='Luettelojen sisällöt'!$I$3,G16*0.255,G16*0.14))</f>
        <v>0</v>
      </c>
      <c r="I16" s="40">
        <f t="shared" si="3"/>
        <v>0</v>
      </c>
      <c r="J16" s="17">
        <f t="shared" si="1"/>
        <v>0</v>
      </c>
      <c r="K16" s="10">
        <f t="shared" si="4"/>
        <v>0</v>
      </c>
      <c r="M16" s="55">
        <f t="shared" si="6"/>
        <v>0</v>
      </c>
      <c r="P16" s="17"/>
    </row>
    <row r="17" spans="1:16" x14ac:dyDescent="0.2">
      <c r="A17" s="1">
        <v>0</v>
      </c>
      <c r="B17" s="29">
        <f>'Sales and profit goal'!D16</f>
        <v>0</v>
      </c>
      <c r="C17" s="24" t="e">
        <f t="shared" si="5"/>
        <v>#DIV/0!</v>
      </c>
      <c r="D17" s="17">
        <f>IF(A17&gt;0,IF('Start here'!$C$25='Luettelojen sisällöt'!$G$3,'Start here'!D36,'Start here'!$C$27/COUNTA('Start here'!$C$12:$C$21,'Start here'!$E$12:$E$21)),0)</f>
        <v>0</v>
      </c>
      <c r="E17" s="1">
        <f>'Sales and profit goal'!C16</f>
        <v>0</v>
      </c>
      <c r="F17" s="17" t="e">
        <f t="shared" si="2"/>
        <v>#DIV/0!</v>
      </c>
      <c r="G17" s="17">
        <f t="shared" si="7"/>
        <v>0</v>
      </c>
      <c r="H17" s="17">
        <f>IF($H$5='Luettelojen sisällöt'!$I$2,0,IF($H$5='Luettelojen sisällöt'!$I$3,G17*0.255,G17*0.14))</f>
        <v>0</v>
      </c>
      <c r="I17" s="40">
        <f t="shared" si="3"/>
        <v>0</v>
      </c>
      <c r="J17" s="17">
        <f t="shared" si="1"/>
        <v>0</v>
      </c>
      <c r="K17" s="10">
        <f t="shared" si="4"/>
        <v>0</v>
      </c>
      <c r="M17" s="55">
        <f t="shared" si="6"/>
        <v>0</v>
      </c>
      <c r="P17" s="17"/>
    </row>
    <row r="18" spans="1:16" x14ac:dyDescent="0.2">
      <c r="A18" s="1">
        <v>0</v>
      </c>
      <c r="B18" s="29">
        <f>'Sales and profit goal'!D17</f>
        <v>0</v>
      </c>
      <c r="C18" s="24" t="e">
        <f t="shared" si="5"/>
        <v>#DIV/0!</v>
      </c>
      <c r="D18" s="17">
        <f>IF(A18&gt;0,IF('Start here'!$C$25='Luettelojen sisällöt'!$G$3,'Start here'!D37,'Start here'!$C$27/COUNTA('Start here'!$C$12:$C$21,'Start here'!$E$12:$E$21)),0)</f>
        <v>0</v>
      </c>
      <c r="E18" s="1">
        <f>'Sales and profit goal'!C17</f>
        <v>0</v>
      </c>
      <c r="F18" s="17" t="e">
        <f t="shared" si="2"/>
        <v>#DIV/0!</v>
      </c>
      <c r="G18" s="17">
        <f t="shared" si="7"/>
        <v>0</v>
      </c>
      <c r="H18" s="17">
        <f>IF($H$5='Luettelojen sisällöt'!$I$2,0,IF($H$5='Luettelojen sisällöt'!$I$3,G18*0.255,G18*0.14))</f>
        <v>0</v>
      </c>
      <c r="I18" s="40">
        <f t="shared" si="3"/>
        <v>0</v>
      </c>
      <c r="J18" s="17">
        <f t="shared" si="1"/>
        <v>0</v>
      </c>
      <c r="K18" s="10">
        <f t="shared" si="4"/>
        <v>0</v>
      </c>
      <c r="M18" s="55">
        <f t="shared" si="6"/>
        <v>0</v>
      </c>
    </row>
    <row r="19" spans="1:16" x14ac:dyDescent="0.2">
      <c r="A19" s="1">
        <v>0</v>
      </c>
      <c r="B19" s="29">
        <f>'Sales and profit goal'!D18</f>
        <v>0</v>
      </c>
      <c r="C19" s="24" t="e">
        <f t="shared" si="5"/>
        <v>#DIV/0!</v>
      </c>
      <c r="D19" s="17">
        <f>IF(A19&gt;0,IF('Start here'!$C$25='Luettelojen sisällöt'!$G$3,'Start here'!D38,'Start here'!$C$27/COUNTA('Start here'!$C$12:$C$21,'Start here'!$E$12:$E$21)),0)</f>
        <v>0</v>
      </c>
      <c r="E19" s="1">
        <f>'Sales and profit goal'!C18</f>
        <v>0</v>
      </c>
      <c r="F19" s="17" t="e">
        <f t="shared" si="2"/>
        <v>#DIV/0!</v>
      </c>
      <c r="G19" s="17">
        <f t="shared" si="7"/>
        <v>0</v>
      </c>
      <c r="H19" s="17">
        <f>IF($H$5='Luettelojen sisällöt'!$I$2,0,IF($H$5='Luettelojen sisällöt'!$I$3,G19*0.255,G19*0.14))</f>
        <v>0</v>
      </c>
      <c r="I19" s="40">
        <f t="shared" si="3"/>
        <v>0</v>
      </c>
      <c r="J19" s="17">
        <f t="shared" si="1"/>
        <v>0</v>
      </c>
      <c r="K19" s="10">
        <f t="shared" si="4"/>
        <v>0</v>
      </c>
      <c r="M19" s="55">
        <f t="shared" si="6"/>
        <v>0</v>
      </c>
    </row>
    <row r="20" spans="1:16" x14ac:dyDescent="0.2">
      <c r="A20" s="4" t="str">
        <f>IF(OR('Start here'!$C$5='Luettelojen sisällöt'!$D$5,'Start here'!$C$5='Luettelojen sisällöt'!$D$8),"Services",0)</f>
        <v>Services</v>
      </c>
      <c r="B20" s="25"/>
      <c r="D20" s="17"/>
      <c r="I20" s="40"/>
      <c r="J20" s="17">
        <f t="shared" si="1"/>
        <v>0</v>
      </c>
      <c r="K20" s="10"/>
      <c r="M20" s="55">
        <f t="shared" si="6"/>
        <v>0</v>
      </c>
    </row>
    <row r="21" spans="1:16" x14ac:dyDescent="0.2">
      <c r="A21" s="1" cm="1">
        <f t="array" ref="A21:A30">IF(A20&gt;0,'Start here'!E12:E21,0)</f>
        <v>0</v>
      </c>
      <c r="B21" s="25">
        <f>'Sales and profit goal'!D21</f>
        <v>0</v>
      </c>
      <c r="C21" s="24" t="e">
        <f>B21/$B$4</f>
        <v>#DIV/0!</v>
      </c>
      <c r="D21" s="17">
        <f>IF(A21&gt;0,IF('Start here'!$C$25='Luettelojen sisällöt'!$G$3,'Start here'!F29,'Start here'!$C$27/COUNTA('Start here'!$C$12:$C$21,'Start here'!$E$12:$E$21)),0)</f>
        <v>0</v>
      </c>
      <c r="E21" s="1">
        <f>'Sales and profit goal'!C21</f>
        <v>0</v>
      </c>
      <c r="F21" s="17" t="e">
        <f t="shared" si="2"/>
        <v>#DIV/0!</v>
      </c>
      <c r="G21" s="17">
        <f t="shared" si="7"/>
        <v>0</v>
      </c>
      <c r="H21" s="17">
        <f>IF($H$5='Luettelojen sisällöt'!$I$2,0,IF($H$5='Luettelojen sisällöt'!$I$3,G21*0.255,G21*0.14))</f>
        <v>0</v>
      </c>
      <c r="I21" s="40">
        <f t="shared" si="3"/>
        <v>0</v>
      </c>
      <c r="J21" s="17">
        <f t="shared" si="1"/>
        <v>0</v>
      </c>
      <c r="K21" s="10">
        <f t="shared" si="4"/>
        <v>0</v>
      </c>
      <c r="M21" s="55">
        <f t="shared" si="6"/>
        <v>0</v>
      </c>
    </row>
    <row r="22" spans="1:16" x14ac:dyDescent="0.2">
      <c r="A22" s="1">
        <v>0</v>
      </c>
      <c r="B22" s="25">
        <f>'Sales and profit goal'!D22</f>
        <v>0</v>
      </c>
      <c r="C22" s="24" t="e">
        <f t="shared" ref="C22:C30" si="8">B22/$B$4</f>
        <v>#DIV/0!</v>
      </c>
      <c r="D22" s="17">
        <f>IF(A22&gt;0,IF('Start here'!$C$25='Luettelojen sisällöt'!$G$3,'Start here'!F30,'Start here'!$C$27/COUNTA('Start here'!$C$12:$C$21,'Start here'!$E$12:$E$21)),0)</f>
        <v>0</v>
      </c>
      <c r="E22" s="1">
        <f>'Sales and profit goal'!C22</f>
        <v>0</v>
      </c>
      <c r="F22" s="17" t="e">
        <f t="shared" si="2"/>
        <v>#DIV/0!</v>
      </c>
      <c r="G22" s="17">
        <f t="shared" si="7"/>
        <v>0</v>
      </c>
      <c r="H22" s="17">
        <f>IF($H$5='Luettelojen sisällöt'!$I$2,0,IF($H$5='Luettelojen sisällöt'!$I$3,G22*0.255,G22*0.14))</f>
        <v>0</v>
      </c>
      <c r="I22" s="40">
        <f t="shared" si="3"/>
        <v>0</v>
      </c>
      <c r="J22" s="17">
        <f t="shared" si="1"/>
        <v>0</v>
      </c>
      <c r="K22" s="10">
        <f t="shared" si="4"/>
        <v>0</v>
      </c>
      <c r="M22" s="55">
        <f t="shared" si="6"/>
        <v>0</v>
      </c>
    </row>
    <row r="23" spans="1:16" x14ac:dyDescent="0.2">
      <c r="A23" s="1">
        <v>0</v>
      </c>
      <c r="B23" s="25">
        <f>'Sales and profit goal'!D23</f>
        <v>0</v>
      </c>
      <c r="C23" s="24" t="e">
        <f t="shared" si="8"/>
        <v>#DIV/0!</v>
      </c>
      <c r="D23" s="17">
        <f>IF(A23&gt;0,IF('Start here'!$C$25='Luettelojen sisällöt'!$G$3,'Start here'!F31,'Start here'!$C$27/COUNTA('Start here'!$C$12:$C$21,'Start here'!$E$12:$E$21)),0)</f>
        <v>0</v>
      </c>
      <c r="E23" s="1">
        <f>'Sales and profit goal'!C23</f>
        <v>0</v>
      </c>
      <c r="F23" s="17" t="e">
        <f t="shared" si="2"/>
        <v>#DIV/0!</v>
      </c>
      <c r="G23" s="17">
        <f t="shared" si="7"/>
        <v>0</v>
      </c>
      <c r="H23" s="17">
        <f>IF($H$5='Luettelojen sisällöt'!$I$2,0,IF($H$5='Luettelojen sisällöt'!$I$3,G23*0.255,G23*0.14))</f>
        <v>0</v>
      </c>
      <c r="I23" s="40">
        <f t="shared" si="3"/>
        <v>0</v>
      </c>
      <c r="J23" s="17">
        <f t="shared" si="1"/>
        <v>0</v>
      </c>
      <c r="K23" s="10">
        <f t="shared" si="4"/>
        <v>0</v>
      </c>
      <c r="M23" s="55">
        <f t="shared" si="6"/>
        <v>0</v>
      </c>
    </row>
    <row r="24" spans="1:16" x14ac:dyDescent="0.2">
      <c r="A24" s="1">
        <v>0</v>
      </c>
      <c r="B24" s="25">
        <f>'Sales and profit goal'!D24</f>
        <v>0</v>
      </c>
      <c r="C24" s="24" t="e">
        <f t="shared" si="8"/>
        <v>#DIV/0!</v>
      </c>
      <c r="D24" s="17">
        <f>IF(A24&gt;0,IF('Start here'!$C$25='Luettelojen sisällöt'!$G$3,'Start here'!F32,'Start here'!$C$27/COUNTA('Start here'!$C$12:$C$21,'Start here'!$E$12:$E$21)),0)</f>
        <v>0</v>
      </c>
      <c r="E24" s="1">
        <f>'Sales and profit goal'!C24</f>
        <v>0</v>
      </c>
      <c r="F24" s="17" t="e">
        <f t="shared" si="2"/>
        <v>#DIV/0!</v>
      </c>
      <c r="G24" s="17">
        <f t="shared" si="7"/>
        <v>0</v>
      </c>
      <c r="H24" s="17">
        <f>IF($H$5='Luettelojen sisällöt'!$I$2,0,IF($H$5='Luettelojen sisällöt'!$I$3,G24*0.255,G24*0.14))</f>
        <v>0</v>
      </c>
      <c r="I24" s="40">
        <f t="shared" si="3"/>
        <v>0</v>
      </c>
      <c r="J24" s="17">
        <f t="shared" si="1"/>
        <v>0</v>
      </c>
      <c r="K24" s="10">
        <f t="shared" si="4"/>
        <v>0</v>
      </c>
      <c r="M24" s="55">
        <f t="shared" si="6"/>
        <v>0</v>
      </c>
    </row>
    <row r="25" spans="1:16" x14ac:dyDescent="0.2">
      <c r="A25" s="1">
        <v>0</v>
      </c>
      <c r="B25" s="25">
        <f>'Sales and profit goal'!D25</f>
        <v>0</v>
      </c>
      <c r="C25" s="24" t="e">
        <f t="shared" si="8"/>
        <v>#DIV/0!</v>
      </c>
      <c r="D25" s="17">
        <f>IF(A25&gt;0,IF('Start here'!$C$25='Luettelojen sisällöt'!$G$3,'Start here'!F33,'Start here'!$C$27/COUNTA('Start here'!$C$12:$C$21,'Start here'!$E$12:$E$21)),0)</f>
        <v>0</v>
      </c>
      <c r="E25" s="1">
        <f>'Sales and profit goal'!C25</f>
        <v>0</v>
      </c>
      <c r="F25" s="17" t="e">
        <f t="shared" si="2"/>
        <v>#DIV/0!</v>
      </c>
      <c r="G25" s="17">
        <f t="shared" si="7"/>
        <v>0</v>
      </c>
      <c r="H25" s="17">
        <f>IF($H$5='Luettelojen sisällöt'!$I$2,0,IF($H$5='Luettelojen sisällöt'!$I$3,G25*0.255,G25*0.14))</f>
        <v>0</v>
      </c>
      <c r="I25" s="40">
        <f t="shared" si="3"/>
        <v>0</v>
      </c>
      <c r="J25" s="17">
        <f t="shared" si="1"/>
        <v>0</v>
      </c>
      <c r="K25" s="10">
        <f t="shared" si="4"/>
        <v>0</v>
      </c>
      <c r="M25" s="55">
        <f t="shared" si="6"/>
        <v>0</v>
      </c>
    </row>
    <row r="26" spans="1:16" x14ac:dyDescent="0.2">
      <c r="A26" s="1">
        <v>0</v>
      </c>
      <c r="B26" s="25">
        <f>'Sales and profit goal'!D26</f>
        <v>0</v>
      </c>
      <c r="C26" s="24" t="e">
        <f t="shared" si="8"/>
        <v>#DIV/0!</v>
      </c>
      <c r="D26" s="17">
        <f>IF(A26&gt;0,IF('Start here'!$C$25='Luettelojen sisällöt'!$G$3,'Start here'!F34,'Start here'!$C$27/COUNTA('Start here'!$C$12:$C$21,'Start here'!$E$12:$E$21)),0)</f>
        <v>0</v>
      </c>
      <c r="E26" s="1">
        <f>'Sales and profit goal'!C26</f>
        <v>0</v>
      </c>
      <c r="F26" s="17" t="e">
        <f t="shared" si="2"/>
        <v>#DIV/0!</v>
      </c>
      <c r="G26" s="17">
        <f t="shared" si="7"/>
        <v>0</v>
      </c>
      <c r="H26" s="17">
        <f>IF($H$5='Luettelojen sisällöt'!$I$2,0,IF($H$5='Luettelojen sisällöt'!$I$3,G26*0.255,G26*0.14))</f>
        <v>0</v>
      </c>
      <c r="I26" s="40">
        <f t="shared" si="3"/>
        <v>0</v>
      </c>
      <c r="J26" s="17">
        <f t="shared" si="1"/>
        <v>0</v>
      </c>
      <c r="K26" s="10">
        <f t="shared" si="4"/>
        <v>0</v>
      </c>
      <c r="M26" s="55">
        <f t="shared" si="6"/>
        <v>0</v>
      </c>
    </row>
    <row r="27" spans="1:16" x14ac:dyDescent="0.2">
      <c r="A27" s="1">
        <v>0</v>
      </c>
      <c r="B27" s="25">
        <f>'Sales and profit goal'!D27</f>
        <v>0</v>
      </c>
      <c r="C27" s="24" t="e">
        <f t="shared" si="8"/>
        <v>#DIV/0!</v>
      </c>
      <c r="D27" s="17">
        <f>IF(A27&gt;0,IF('Start here'!$C$25='Luettelojen sisällöt'!$G$3,'Start here'!F35,'Start here'!$C$27/COUNTA('Start here'!$C$12:$C$21,'Start here'!$E$12:$E$21)),0)</f>
        <v>0</v>
      </c>
      <c r="E27" s="1">
        <f>'Sales and profit goal'!C27</f>
        <v>0</v>
      </c>
      <c r="F27" s="17" t="e">
        <f t="shared" si="2"/>
        <v>#DIV/0!</v>
      </c>
      <c r="G27" s="17">
        <f t="shared" si="7"/>
        <v>0</v>
      </c>
      <c r="H27" s="17">
        <f>IF($H$5='Luettelojen sisällöt'!$I$2,0,IF($H$5='Luettelojen sisällöt'!$I$3,G27*0.255,G27*0.14))</f>
        <v>0</v>
      </c>
      <c r="I27" s="40">
        <f t="shared" si="3"/>
        <v>0</v>
      </c>
      <c r="J27" s="17">
        <f t="shared" si="1"/>
        <v>0</v>
      </c>
      <c r="K27" s="10">
        <f t="shared" si="4"/>
        <v>0</v>
      </c>
      <c r="M27" s="55">
        <f t="shared" si="6"/>
        <v>0</v>
      </c>
    </row>
    <row r="28" spans="1:16" x14ac:dyDescent="0.2">
      <c r="A28" s="1">
        <v>0</v>
      </c>
      <c r="B28" s="25">
        <f>'Sales and profit goal'!D28</f>
        <v>0</v>
      </c>
      <c r="C28" s="24" t="e">
        <f t="shared" si="8"/>
        <v>#DIV/0!</v>
      </c>
      <c r="D28" s="17">
        <f>IF(A28&gt;0,IF('Start here'!$C$25='Luettelojen sisällöt'!$G$3,'Start here'!F36,'Start here'!$C$27/COUNTA('Start here'!$C$12:$C$21,'Start here'!$E$12:$E$21)),0)</f>
        <v>0</v>
      </c>
      <c r="E28" s="1">
        <f>'Sales and profit goal'!C28</f>
        <v>0</v>
      </c>
      <c r="F28" s="17" t="e">
        <f t="shared" si="2"/>
        <v>#DIV/0!</v>
      </c>
      <c r="G28" s="17">
        <f t="shared" si="7"/>
        <v>0</v>
      </c>
      <c r="H28" s="17">
        <f>IF($H$5='Luettelojen sisällöt'!$I$2,0,IF($H$5='Luettelojen sisällöt'!$I$3,G28*0.255,G28*0.14))</f>
        <v>0</v>
      </c>
      <c r="I28" s="40">
        <f t="shared" si="3"/>
        <v>0</v>
      </c>
      <c r="J28" s="17">
        <f t="shared" si="1"/>
        <v>0</v>
      </c>
      <c r="K28" s="10">
        <f t="shared" si="4"/>
        <v>0</v>
      </c>
      <c r="M28" s="55">
        <f t="shared" si="6"/>
        <v>0</v>
      </c>
    </row>
    <row r="29" spans="1:16" x14ac:dyDescent="0.2">
      <c r="A29" s="1">
        <v>0</v>
      </c>
      <c r="B29" s="25">
        <f>'Sales and profit goal'!D29</f>
        <v>0</v>
      </c>
      <c r="C29" s="24" t="e">
        <f t="shared" si="8"/>
        <v>#DIV/0!</v>
      </c>
      <c r="D29" s="17">
        <f>IF(A29&gt;0,IF('Start here'!$C$25='Luettelojen sisällöt'!$G$3,'Start here'!F37,'Start here'!$C$27/COUNTA('Start here'!$C$12:$C$21,'Start here'!$E$12:$E$21)),0)</f>
        <v>0</v>
      </c>
      <c r="E29" s="1">
        <f>'Sales and profit goal'!C29</f>
        <v>0</v>
      </c>
      <c r="F29" s="17" t="e">
        <f t="shared" si="2"/>
        <v>#DIV/0!</v>
      </c>
      <c r="G29" s="17">
        <f t="shared" si="7"/>
        <v>0</v>
      </c>
      <c r="H29" s="17">
        <f>IF($H$5='Luettelojen sisällöt'!$I$2,0,IF($H$5='Luettelojen sisällöt'!$I$3,G29*0.255,G29*0.14))</f>
        <v>0</v>
      </c>
      <c r="I29" s="40">
        <f t="shared" si="3"/>
        <v>0</v>
      </c>
      <c r="J29" s="17">
        <f t="shared" si="1"/>
        <v>0</v>
      </c>
      <c r="K29" s="10">
        <f t="shared" si="4"/>
        <v>0</v>
      </c>
      <c r="M29" s="55">
        <f t="shared" si="6"/>
        <v>0</v>
      </c>
    </row>
    <row r="30" spans="1:16" x14ac:dyDescent="0.2">
      <c r="A30" s="1">
        <v>0</v>
      </c>
      <c r="B30" s="25">
        <f>'Sales and profit goal'!D30</f>
        <v>0</v>
      </c>
      <c r="C30" s="24" t="e">
        <f t="shared" si="8"/>
        <v>#DIV/0!</v>
      </c>
      <c r="D30" s="17">
        <f>IF(A30&gt;0,IF('Start here'!$C$25='Luettelojen sisällöt'!$G$3,'Start here'!F38,'Start here'!$C$27/COUNTA('Start here'!$C$12:$C$21,'Start here'!$E$12:$E$21)),0)</f>
        <v>0</v>
      </c>
      <c r="E30" s="1">
        <f>'Sales and profit goal'!C30</f>
        <v>0</v>
      </c>
      <c r="F30" s="17" t="e">
        <f t="shared" si="2"/>
        <v>#DIV/0!</v>
      </c>
      <c r="G30" s="17">
        <f t="shared" si="7"/>
        <v>0</v>
      </c>
      <c r="H30" s="17">
        <f>IF($H$5='Luettelojen sisällöt'!$I$2,0,IF($H$5='Luettelojen sisällöt'!$I$3,G30*0.255,G30*0.14))</f>
        <v>0</v>
      </c>
      <c r="I30" s="40">
        <f t="shared" si="3"/>
        <v>0</v>
      </c>
      <c r="J30" s="17">
        <f t="shared" si="1"/>
        <v>0</v>
      </c>
      <c r="K30" s="10">
        <f t="shared" si="4"/>
        <v>0</v>
      </c>
      <c r="M30" s="55">
        <f t="shared" si="6"/>
        <v>0</v>
      </c>
    </row>
    <row r="31" spans="1:16" x14ac:dyDescent="0.2">
      <c r="B31" s="25"/>
      <c r="D31" s="17"/>
      <c r="I31" s="53"/>
      <c r="J31" s="17">
        <f t="shared" si="1"/>
        <v>0</v>
      </c>
    </row>
    <row r="32" spans="1:16" x14ac:dyDescent="0.2">
      <c r="B32" s="25"/>
      <c r="D32" s="17"/>
    </row>
    <row r="33" spans="1:15" x14ac:dyDescent="0.2">
      <c r="B33" s="25"/>
      <c r="D33" s="17"/>
    </row>
    <row r="34" spans="1:15" x14ac:dyDescent="0.2">
      <c r="B34" s="25"/>
      <c r="D34" s="17"/>
    </row>
    <row r="35" spans="1:15" x14ac:dyDescent="0.2">
      <c r="B35" s="25"/>
      <c r="D35" s="17"/>
    </row>
    <row r="36" spans="1:15" ht="39" customHeight="1" x14ac:dyDescent="0.2">
      <c r="A36" s="64" t="s">
        <v>158</v>
      </c>
      <c r="B36" s="64"/>
      <c r="C36" s="64"/>
      <c r="D36" s="64"/>
      <c r="E36" s="64"/>
      <c r="F36" s="64"/>
      <c r="G36" s="64"/>
      <c r="H36" s="30"/>
      <c r="I36" s="30"/>
      <c r="J36" s="6"/>
      <c r="K36" s="6"/>
      <c r="L36" s="6"/>
      <c r="M36" s="6"/>
      <c r="N36" s="6"/>
      <c r="O36" s="6"/>
    </row>
    <row r="37" spans="1:15" x14ac:dyDescent="0.2">
      <c r="A37" s="64"/>
      <c r="B37" s="64"/>
      <c r="C37" s="64"/>
      <c r="D37" s="64"/>
      <c r="E37" s="64"/>
      <c r="F37" s="64"/>
      <c r="G37" s="64"/>
      <c r="H37" s="30"/>
      <c r="I37" s="30"/>
      <c r="J37" s="6"/>
      <c r="K37" s="6"/>
      <c r="L37" s="6"/>
      <c r="M37" s="6"/>
      <c r="N37" s="6"/>
      <c r="O37" s="6"/>
    </row>
    <row r="38" spans="1:15" x14ac:dyDescent="0.2">
      <c r="A38" s="64"/>
      <c r="B38" s="64"/>
      <c r="C38" s="64"/>
      <c r="D38" s="64"/>
      <c r="E38" s="64"/>
      <c r="F38" s="64"/>
      <c r="G38" s="64"/>
      <c r="H38" s="30"/>
      <c r="I38" s="30"/>
      <c r="J38" s="6"/>
      <c r="K38" s="6"/>
      <c r="L38" s="6"/>
      <c r="M38" s="6"/>
      <c r="N38" s="6"/>
      <c r="O38" s="6"/>
    </row>
    <row r="39" spans="1:15" ht="23" customHeight="1" x14ac:dyDescent="0.2">
      <c r="A39" s="64"/>
      <c r="B39" s="64"/>
      <c r="C39" s="64"/>
      <c r="D39" s="64"/>
      <c r="E39" s="64"/>
      <c r="F39" s="64"/>
      <c r="G39" s="64"/>
      <c r="H39" s="30"/>
      <c r="I39" s="30"/>
      <c r="J39" s="6"/>
      <c r="K39" s="6"/>
      <c r="L39" s="6"/>
      <c r="M39" s="6"/>
      <c r="N39" s="6"/>
      <c r="O39" s="6"/>
    </row>
  </sheetData>
  <sheetProtection algorithmName="SHA-512" hashValue="Md9TeISIw3bZkmj22840uB+nP5kjaDpnvHCuemtapGsuuN2Q/wohqo1ZLziGuyUmUlDYtPmJ0K4wtBoVkNngfw==" saltValue="HJ2znltOpgW1jRME1IFHww==" spinCount="100000" sheet="1" objects="1" scenarios="1" selectLockedCells="1"/>
  <mergeCells count="2">
    <mergeCell ref="A36:G39"/>
    <mergeCell ref="A2:G2"/>
  </mergeCells>
  <conditionalFormatting sqref="A1:A2 L2:XFD2 A3:XFD35 A36 H36:XFD39 A40:XFD1048576">
    <cfRule type="cellIs" dxfId="4" priority="1" operator="equal">
      <formula>0</formula>
    </cfRule>
  </conditionalFormatting>
  <conditionalFormatting sqref="A10:J10 A12:J12 A14:J14 A16:J16 A18:J18">
    <cfRule type="expression" dxfId="3" priority="3">
      <formula>$B10&gt;0</formula>
    </cfRule>
  </conditionalFormatting>
  <conditionalFormatting sqref="A21:J21 A23:J23 A25:J25 A27:J27 A29:J29">
    <cfRule type="expression" dxfId="2" priority="4">
      <formula>$B21&gt;0</formula>
    </cfRule>
  </conditionalFormatting>
  <conditionalFormatting sqref="C1:XFD1">
    <cfRule type="cellIs" dxfId="1" priority="5" operator="equal">
      <formula>0</formula>
    </cfRule>
  </conditionalFormatting>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BE1DA39D-D101-F244-9846-AF7EE5CB8DD5}">
          <x14:formula1>
            <xm:f>'Luettelojen sisällöt'!$I$2:$I$4</xm:f>
          </x14:formula1>
          <xm:sqref>H5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CF062-EC50-0D49-8DE2-9D4D89D925D9}">
  <dimension ref="A1:B102"/>
  <sheetViews>
    <sheetView workbookViewId="0">
      <selection activeCell="B35" sqref="B35"/>
    </sheetView>
  </sheetViews>
  <sheetFormatPr baseColWidth="10" defaultRowHeight="16" x14ac:dyDescent="0.2"/>
  <cols>
    <col min="1" max="16384" width="10.83203125" style="1"/>
  </cols>
  <sheetData>
    <row r="1" spans="1:2" x14ac:dyDescent="0.2">
      <c r="A1" s="1" t="s">
        <v>88</v>
      </c>
    </row>
    <row r="2" spans="1:2" x14ac:dyDescent="0.2">
      <c r="B2" s="1" t="s">
        <v>89</v>
      </c>
    </row>
    <row r="3" spans="1:2" x14ac:dyDescent="0.2">
      <c r="B3" s="1" t="s">
        <v>90</v>
      </c>
    </row>
    <row r="4" spans="1:2" x14ac:dyDescent="0.2">
      <c r="B4" s="1" t="s">
        <v>29</v>
      </c>
    </row>
    <row r="5" spans="1:2" x14ac:dyDescent="0.2">
      <c r="B5" s="1" t="s">
        <v>28</v>
      </c>
    </row>
    <row r="6" spans="1:2" x14ac:dyDescent="0.2">
      <c r="B6" s="1" t="s">
        <v>46</v>
      </c>
    </row>
    <row r="7" spans="1:2" x14ac:dyDescent="0.2">
      <c r="B7" s="1" t="s">
        <v>148</v>
      </c>
    </row>
    <row r="8" spans="1:2" x14ac:dyDescent="0.2">
      <c r="B8" s="1" t="s">
        <v>149</v>
      </c>
    </row>
    <row r="9" spans="1:2" x14ac:dyDescent="0.2">
      <c r="B9" s="1" t="s">
        <v>91</v>
      </c>
    </row>
    <row r="10" spans="1:2" x14ac:dyDescent="0.2">
      <c r="B10" s="1" t="s">
        <v>92</v>
      </c>
    </row>
    <row r="11" spans="1:2" x14ac:dyDescent="0.2">
      <c r="A11" s="1" t="s">
        <v>93</v>
      </c>
    </row>
    <row r="12" spans="1:2" x14ac:dyDescent="0.2">
      <c r="B12" s="1" t="s">
        <v>94</v>
      </c>
    </row>
    <row r="13" spans="1:2" x14ac:dyDescent="0.2">
      <c r="B13" s="1" t="s">
        <v>95</v>
      </c>
    </row>
    <row r="14" spans="1:2" x14ac:dyDescent="0.2">
      <c r="B14" s="1" t="s">
        <v>96</v>
      </c>
    </row>
    <row r="15" spans="1:2" x14ac:dyDescent="0.2">
      <c r="B15" s="1" t="s">
        <v>151</v>
      </c>
    </row>
    <row r="16" spans="1:2" x14ac:dyDescent="0.2">
      <c r="B16" s="1" t="s">
        <v>0</v>
      </c>
    </row>
    <row r="17" spans="1:2" x14ac:dyDescent="0.2">
      <c r="B17" s="1" t="s">
        <v>58</v>
      </c>
    </row>
    <row r="18" spans="1:2" x14ac:dyDescent="0.2">
      <c r="B18" s="1" t="s">
        <v>98</v>
      </c>
    </row>
    <row r="19" spans="1:2" x14ac:dyDescent="0.2">
      <c r="B19" s="1" t="s">
        <v>99</v>
      </c>
    </row>
    <row r="20" spans="1:2" x14ac:dyDescent="0.2">
      <c r="B20" s="1" t="s">
        <v>100</v>
      </c>
    </row>
    <row r="21" spans="1:2" x14ac:dyDescent="0.2">
      <c r="B21" s="1" t="s">
        <v>101</v>
      </c>
    </row>
    <row r="22" spans="1:2" x14ac:dyDescent="0.2">
      <c r="B22" s="1" t="s">
        <v>102</v>
      </c>
    </row>
    <row r="23" spans="1:2" x14ac:dyDescent="0.2">
      <c r="B23" s="1" t="s">
        <v>103</v>
      </c>
    </row>
    <row r="24" spans="1:2" x14ac:dyDescent="0.2">
      <c r="A24" s="1" t="s">
        <v>104</v>
      </c>
    </row>
    <row r="25" spans="1:2" x14ac:dyDescent="0.2">
      <c r="B25" s="1" t="s">
        <v>105</v>
      </c>
    </row>
    <row r="26" spans="1:2" x14ac:dyDescent="0.2">
      <c r="B26" s="1" t="s">
        <v>106</v>
      </c>
    </row>
    <row r="27" spans="1:2" x14ac:dyDescent="0.2">
      <c r="B27" s="1" t="s">
        <v>107</v>
      </c>
    </row>
    <row r="28" spans="1:2" x14ac:dyDescent="0.2">
      <c r="B28" s="1" t="s">
        <v>108</v>
      </c>
    </row>
    <row r="29" spans="1:2" x14ac:dyDescent="0.2">
      <c r="B29" s="1" t="s">
        <v>109</v>
      </c>
    </row>
    <row r="30" spans="1:2" x14ac:dyDescent="0.2">
      <c r="B30" s="1" t="s">
        <v>110</v>
      </c>
    </row>
    <row r="31" spans="1:2" x14ac:dyDescent="0.2">
      <c r="B31" s="1" t="s">
        <v>111</v>
      </c>
    </row>
    <row r="32" spans="1:2" x14ac:dyDescent="0.2">
      <c r="A32" s="1" t="s">
        <v>112</v>
      </c>
    </row>
    <row r="33" spans="1:2" x14ac:dyDescent="0.2">
      <c r="B33" s="1" t="s">
        <v>113</v>
      </c>
    </row>
    <row r="34" spans="1:2" x14ac:dyDescent="0.2">
      <c r="B34" s="1" t="s">
        <v>153</v>
      </c>
    </row>
    <row r="35" spans="1:2" x14ac:dyDescent="0.2">
      <c r="B35" s="1" t="s">
        <v>114</v>
      </c>
    </row>
    <row r="36" spans="1:2" x14ac:dyDescent="0.2">
      <c r="B36" s="1" t="s">
        <v>115</v>
      </c>
    </row>
    <row r="37" spans="1:2" x14ac:dyDescent="0.2">
      <c r="B37" s="1" t="s">
        <v>30</v>
      </c>
    </row>
    <row r="38" spans="1:2" x14ac:dyDescent="0.2">
      <c r="B38" s="1" t="s">
        <v>116</v>
      </c>
    </row>
    <row r="39" spans="1:2" x14ac:dyDescent="0.2">
      <c r="B39" s="1" t="s">
        <v>117</v>
      </c>
    </row>
    <row r="40" spans="1:2" x14ac:dyDescent="0.2">
      <c r="A40" s="1" t="s">
        <v>118</v>
      </c>
    </row>
    <row r="41" spans="1:2" x14ac:dyDescent="0.2">
      <c r="B41" s="1" t="s">
        <v>119</v>
      </c>
    </row>
    <row r="42" spans="1:2" x14ac:dyDescent="0.2">
      <c r="B42" s="1" t="s">
        <v>32</v>
      </c>
    </row>
    <row r="43" spans="1:2" x14ac:dyDescent="0.2">
      <c r="B43" s="1" t="s">
        <v>150</v>
      </c>
    </row>
    <row r="44" spans="1:2" x14ac:dyDescent="0.2">
      <c r="B44" s="1" t="s">
        <v>33</v>
      </c>
    </row>
    <row r="45" spans="1:2" x14ac:dyDescent="0.2">
      <c r="B45" s="1" t="s">
        <v>120</v>
      </c>
    </row>
    <row r="46" spans="1:2" x14ac:dyDescent="0.2">
      <c r="B46" s="1" t="s">
        <v>121</v>
      </c>
    </row>
    <row r="47" spans="1:2" x14ac:dyDescent="0.2">
      <c r="B47" s="1" t="s">
        <v>31</v>
      </c>
    </row>
    <row r="48" spans="1:2" x14ac:dyDescent="0.2">
      <c r="B48" s="1" t="s">
        <v>122</v>
      </c>
    </row>
    <row r="50" spans="1:2" x14ac:dyDescent="0.2">
      <c r="A50" s="1" t="s">
        <v>123</v>
      </c>
    </row>
    <row r="51" spans="1:2" x14ac:dyDescent="0.2">
      <c r="A51" s="1" t="s">
        <v>124</v>
      </c>
    </row>
    <row r="52" spans="1:2" x14ac:dyDescent="0.2">
      <c r="B52" s="1" t="s">
        <v>125</v>
      </c>
    </row>
    <row r="53" spans="1:2" x14ac:dyDescent="0.2">
      <c r="B53" s="1" t="s">
        <v>45</v>
      </c>
    </row>
    <row r="54" spans="1:2" x14ac:dyDescent="0.2">
      <c r="B54" s="1" t="s">
        <v>29</v>
      </c>
    </row>
    <row r="55" spans="1:2" x14ac:dyDescent="0.2">
      <c r="B55" s="1" t="s">
        <v>28</v>
      </c>
    </row>
    <row r="56" spans="1:2" x14ac:dyDescent="0.2">
      <c r="B56" s="1" t="s">
        <v>46</v>
      </c>
    </row>
    <row r="57" spans="1:2" x14ac:dyDescent="0.2">
      <c r="B57" s="1" t="s">
        <v>47</v>
      </c>
    </row>
    <row r="58" spans="1:2" x14ac:dyDescent="0.2">
      <c r="B58" s="1" t="s">
        <v>126</v>
      </c>
    </row>
    <row r="59" spans="1:2" x14ac:dyDescent="0.2">
      <c r="B59" s="1" t="s">
        <v>127</v>
      </c>
    </row>
    <row r="60" spans="1:2" x14ac:dyDescent="0.2">
      <c r="A60" s="1" t="s">
        <v>128</v>
      </c>
    </row>
    <row r="61" spans="1:2" x14ac:dyDescent="0.2">
      <c r="B61" s="1" t="s">
        <v>129</v>
      </c>
    </row>
    <row r="62" spans="1:2" x14ac:dyDescent="0.2">
      <c r="B62" s="1" t="s">
        <v>130</v>
      </c>
    </row>
    <row r="63" spans="1:2" x14ac:dyDescent="0.2">
      <c r="B63" s="1" t="s">
        <v>48</v>
      </c>
    </row>
    <row r="64" spans="1:2" x14ac:dyDescent="0.2">
      <c r="B64" s="1" t="s">
        <v>49</v>
      </c>
    </row>
    <row r="65" spans="1:2" x14ac:dyDescent="0.2">
      <c r="A65" s="1" t="s">
        <v>131</v>
      </c>
    </row>
    <row r="66" spans="1:2" x14ac:dyDescent="0.2">
      <c r="B66" s="1" t="s">
        <v>50</v>
      </c>
    </row>
    <row r="67" spans="1:2" x14ac:dyDescent="0.2">
      <c r="B67" s="1" t="s">
        <v>132</v>
      </c>
    </row>
    <row r="68" spans="1:2" x14ac:dyDescent="0.2">
      <c r="B68" s="1" t="s">
        <v>51</v>
      </c>
    </row>
    <row r="69" spans="1:2" x14ac:dyDescent="0.2">
      <c r="B69" s="1" t="s">
        <v>133</v>
      </c>
    </row>
    <row r="70" spans="1:2" x14ac:dyDescent="0.2">
      <c r="B70" s="1" t="s">
        <v>52</v>
      </c>
    </row>
    <row r="71" spans="1:2" x14ac:dyDescent="0.2">
      <c r="B71" s="1" t="s">
        <v>53</v>
      </c>
    </row>
    <row r="72" spans="1:2" x14ac:dyDescent="0.2">
      <c r="B72" s="1" t="s">
        <v>134</v>
      </c>
    </row>
    <row r="73" spans="1:2" x14ac:dyDescent="0.2">
      <c r="A73" s="1" t="s">
        <v>34</v>
      </c>
    </row>
    <row r="74" spans="1:2" x14ac:dyDescent="0.2">
      <c r="B74" s="1" t="s">
        <v>135</v>
      </c>
    </row>
    <row r="75" spans="1:2" x14ac:dyDescent="0.2">
      <c r="B75" s="1" t="s">
        <v>54</v>
      </c>
    </row>
    <row r="76" spans="1:2" x14ac:dyDescent="0.2">
      <c r="B76" s="1" t="s">
        <v>55</v>
      </c>
    </row>
    <row r="77" spans="1:2" x14ac:dyDescent="0.2">
      <c r="B77" s="1" t="s">
        <v>136</v>
      </c>
    </row>
    <row r="78" spans="1:2" x14ac:dyDescent="0.2">
      <c r="B78" s="1" t="s">
        <v>137</v>
      </c>
    </row>
    <row r="79" spans="1:2" x14ac:dyDescent="0.2">
      <c r="B79" s="1" t="s">
        <v>138</v>
      </c>
    </row>
    <row r="80" spans="1:2" x14ac:dyDescent="0.2">
      <c r="B80" s="1" t="s">
        <v>56</v>
      </c>
    </row>
    <row r="81" spans="1:2" x14ac:dyDescent="0.2">
      <c r="A81" s="1" t="s">
        <v>35</v>
      </c>
    </row>
    <row r="82" spans="1:2" x14ac:dyDescent="0.2">
      <c r="B82" s="1" t="s">
        <v>0</v>
      </c>
    </row>
    <row r="83" spans="1:2" x14ac:dyDescent="0.2">
      <c r="B83" s="1" t="s">
        <v>96</v>
      </c>
    </row>
    <row r="84" spans="1:2" x14ac:dyDescent="0.2">
      <c r="B84" s="1" t="s">
        <v>57</v>
      </c>
    </row>
    <row r="85" spans="1:2" x14ac:dyDescent="0.2">
      <c r="B85" s="1" t="s">
        <v>97</v>
      </c>
    </row>
    <row r="86" spans="1:2" x14ac:dyDescent="0.2">
      <c r="B86" s="1" t="s">
        <v>139</v>
      </c>
    </row>
    <row r="87" spans="1:2" x14ac:dyDescent="0.2">
      <c r="A87" s="1" t="s">
        <v>140</v>
      </c>
    </row>
    <row r="88" spans="1:2" x14ac:dyDescent="0.2">
      <c r="B88" s="1" t="s">
        <v>36</v>
      </c>
    </row>
    <row r="89" spans="1:2" x14ac:dyDescent="0.2">
      <c r="B89" s="1" t="s">
        <v>141</v>
      </c>
    </row>
    <row r="90" spans="1:2" x14ac:dyDescent="0.2">
      <c r="B90" s="1" t="s">
        <v>37</v>
      </c>
    </row>
    <row r="91" spans="1:2" x14ac:dyDescent="0.2">
      <c r="B91" s="1" t="s">
        <v>142</v>
      </c>
    </row>
    <row r="92" spans="1:2" x14ac:dyDescent="0.2">
      <c r="B92" s="1" t="s">
        <v>38</v>
      </c>
    </row>
    <row r="93" spans="1:2" x14ac:dyDescent="0.2">
      <c r="B93" s="1" t="s">
        <v>143</v>
      </c>
    </row>
    <row r="94" spans="1:2" x14ac:dyDescent="0.2">
      <c r="B94" s="1" t="s">
        <v>144</v>
      </c>
    </row>
    <row r="95" spans="1:2" x14ac:dyDescent="0.2">
      <c r="A95" s="1" t="s">
        <v>39</v>
      </c>
    </row>
    <row r="96" spans="1:2" x14ac:dyDescent="0.2">
      <c r="B96" s="1" t="s">
        <v>145</v>
      </c>
    </row>
    <row r="97" spans="2:2" x14ac:dyDescent="0.2">
      <c r="B97" s="1" t="s">
        <v>146</v>
      </c>
    </row>
    <row r="98" spans="2:2" x14ac:dyDescent="0.2">
      <c r="B98" s="1" t="s">
        <v>40</v>
      </c>
    </row>
    <row r="99" spans="2:2" x14ac:dyDescent="0.2">
      <c r="B99" s="1" t="s">
        <v>147</v>
      </c>
    </row>
    <row r="100" spans="2:2" x14ac:dyDescent="0.2">
      <c r="B100" s="1" t="s">
        <v>41</v>
      </c>
    </row>
    <row r="101" spans="2:2" x14ac:dyDescent="0.2">
      <c r="B101" s="1" t="s">
        <v>42</v>
      </c>
    </row>
    <row r="102" spans="2:2" x14ac:dyDescent="0.2">
      <c r="B102" s="1" t="s">
        <v>43</v>
      </c>
    </row>
  </sheetData>
  <conditionalFormatting sqref="C1:C42">
    <cfRule type="cellIs" dxfId="0" priority="8" operator="equal">
      <formula>0</formula>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71133-3957-5B4E-9471-BA66EB05B8C7}">
  <dimension ref="B1:I11"/>
  <sheetViews>
    <sheetView workbookViewId="0">
      <selection activeCell="G4" sqref="G4"/>
    </sheetView>
  </sheetViews>
  <sheetFormatPr baseColWidth="10" defaultRowHeight="16" x14ac:dyDescent="0.2"/>
  <cols>
    <col min="4" max="4" width="39.1640625" customWidth="1"/>
    <col min="7" max="7" width="24.83203125" bestFit="1" customWidth="1"/>
    <col min="8" max="8" width="29.6640625" bestFit="1" customWidth="1"/>
  </cols>
  <sheetData>
    <row r="1" spans="2:9" x14ac:dyDescent="0.2">
      <c r="C1">
        <v>0</v>
      </c>
    </row>
    <row r="2" spans="2:9" x14ac:dyDescent="0.2">
      <c r="B2" t="s">
        <v>4</v>
      </c>
      <c r="C2">
        <v>1</v>
      </c>
      <c r="D2" t="s">
        <v>7</v>
      </c>
      <c r="E2" t="s">
        <v>14</v>
      </c>
      <c r="F2" t="s">
        <v>16</v>
      </c>
      <c r="G2" t="s">
        <v>25</v>
      </c>
      <c r="H2" t="s">
        <v>18</v>
      </c>
      <c r="I2" t="s">
        <v>21</v>
      </c>
    </row>
    <row r="3" spans="2:9" x14ac:dyDescent="0.2">
      <c r="B3" t="s">
        <v>5</v>
      </c>
      <c r="C3">
        <v>2</v>
      </c>
      <c r="D3" t="s">
        <v>8</v>
      </c>
      <c r="E3" t="s">
        <v>15</v>
      </c>
      <c r="F3" t="s">
        <v>17</v>
      </c>
      <c r="G3" t="s">
        <v>26</v>
      </c>
      <c r="H3" t="s">
        <v>19</v>
      </c>
      <c r="I3" t="s">
        <v>22</v>
      </c>
    </row>
    <row r="4" spans="2:9" x14ac:dyDescent="0.2">
      <c r="C4">
        <v>3</v>
      </c>
      <c r="D4" t="s">
        <v>9</v>
      </c>
      <c r="H4" t="s">
        <v>20</v>
      </c>
      <c r="I4" t="s">
        <v>23</v>
      </c>
    </row>
    <row r="5" spans="2:9" x14ac:dyDescent="0.2">
      <c r="C5">
        <v>4</v>
      </c>
      <c r="D5" t="s">
        <v>10</v>
      </c>
    </row>
    <row r="6" spans="2:9" x14ac:dyDescent="0.2">
      <c r="C6">
        <v>5</v>
      </c>
      <c r="D6" t="s">
        <v>11</v>
      </c>
    </row>
    <row r="7" spans="2:9" x14ac:dyDescent="0.2">
      <c r="C7">
        <v>6</v>
      </c>
      <c r="D7" t="s">
        <v>12</v>
      </c>
    </row>
    <row r="8" spans="2:9" x14ac:dyDescent="0.2">
      <c r="C8">
        <v>7</v>
      </c>
      <c r="D8" t="s">
        <v>13</v>
      </c>
    </row>
    <row r="9" spans="2:9" x14ac:dyDescent="0.2">
      <c r="C9">
        <v>8</v>
      </c>
    </row>
    <row r="10" spans="2:9" x14ac:dyDescent="0.2">
      <c r="C10">
        <v>9</v>
      </c>
    </row>
    <row r="11" spans="2:9" x14ac:dyDescent="0.2">
      <c r="C11">
        <v>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siakirja" ma:contentTypeID="0x010100432488E3B6805443AB139CAC5483A4CF" ma:contentTypeVersion="15" ma:contentTypeDescription="Luo uusi asiakirja." ma:contentTypeScope="" ma:versionID="6d67c294189be00d26be08e9f51f84e1">
  <xsd:schema xmlns:xsd="http://www.w3.org/2001/XMLSchema" xmlns:xs="http://www.w3.org/2001/XMLSchema" xmlns:p="http://schemas.microsoft.com/office/2006/metadata/properties" xmlns:ns2="2b26b38b-3dd3-4c59-b39a-dcf2d2c4b7f8" xmlns:ns3="fd06da4c-9708-4cbc-8692-8598d6b2e25c" targetNamespace="http://schemas.microsoft.com/office/2006/metadata/properties" ma:root="true" ma:fieldsID="625f6b226c0ee562351ff4c0a1bc13b5" ns2:_="" ns3:_="">
    <xsd:import namespace="2b26b38b-3dd3-4c59-b39a-dcf2d2c4b7f8"/>
    <xsd:import namespace="fd06da4c-9708-4cbc-8692-8598d6b2e25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2:MediaLengthInSecond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26b38b-3dd3-4c59-b39a-dcf2d2c4b7f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Kuvien tunnisteet" ma:readOnly="false" ma:fieldId="{5cf76f15-5ced-4ddc-b409-7134ff3c332f}" ma:taxonomyMulti="true" ma:sspId="f987c810-0cdd-47a2-80af-daf9a0a023ef"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06da4c-9708-4cbc-8692-8598d6b2e25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addcc7e6-d154-4b4e-8041-c14a195b67bf}" ma:internalName="TaxCatchAll" ma:showField="CatchAllData" ma:web="fd06da4c-9708-4cbc-8692-8598d6b2e25c">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Jakamisen tiedot"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d06da4c-9708-4cbc-8692-8598d6b2e25c" xsi:nil="true"/>
    <lcf76f155ced4ddcb4097134ff3c332f xmlns="2b26b38b-3dd3-4c59-b39a-dcf2d2c4b7f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D088B8E-4C64-4C17-AE43-7EFE1CAA14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26b38b-3dd3-4c59-b39a-dcf2d2c4b7f8"/>
    <ds:schemaRef ds:uri="fd06da4c-9708-4cbc-8692-8598d6b2e2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1BD544C-FFC5-4813-8F48-23B06F93508F}">
  <ds:schemaRefs>
    <ds:schemaRef ds:uri="http://schemas.microsoft.com/sharepoint/v3/contenttype/forms"/>
  </ds:schemaRefs>
</ds:datastoreItem>
</file>

<file path=customXml/itemProps3.xml><?xml version="1.0" encoding="utf-8"?>
<ds:datastoreItem xmlns:ds="http://schemas.openxmlformats.org/officeDocument/2006/customXml" ds:itemID="{32C0889B-07CA-43A6-9E10-F69BEAA938A7}">
  <ds:schemaRefs>
    <ds:schemaRef ds:uri="http://schemas.microsoft.com/office/infopath/2007/PartnerControls"/>
    <ds:schemaRef ds:uri="http://www.w3.org/XML/1998/namespace"/>
    <ds:schemaRef ds:uri="http://schemas.microsoft.com/office/2006/documentManagement/types"/>
    <ds:schemaRef ds:uri="http://purl.org/dc/elements/1.1/"/>
    <ds:schemaRef ds:uri="http://schemas.microsoft.com/office/2006/metadata/properties"/>
    <ds:schemaRef ds:uri="http://purl.org/dc/dcmitype/"/>
    <ds:schemaRef ds:uri="http://schemas.openxmlformats.org/package/2006/metadata/core-properties"/>
    <ds:schemaRef ds:uri="http://purl.org/dc/terms/"/>
    <ds:schemaRef ds:uri="fd06da4c-9708-4cbc-8692-8598d6b2e25c"/>
    <ds:schemaRef ds:uri="2b26b38b-3dd3-4c59-b39a-dcf2d2c4b7f8"/>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Laskentataulukot</vt:lpstr>
      </vt:variant>
      <vt:variant>
        <vt:i4>6</vt:i4>
      </vt:variant>
    </vt:vector>
  </HeadingPairs>
  <TitlesOfParts>
    <vt:vector size="6" baseType="lpstr">
      <vt:lpstr>Start here</vt:lpstr>
      <vt:lpstr>Time management</vt:lpstr>
      <vt:lpstr>Sales and profit goal</vt:lpstr>
      <vt:lpstr>Prices</vt:lpstr>
      <vt:lpstr>Taul2</vt:lpstr>
      <vt:lpstr>Luettelojen sisällöt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Oona</dc:creator>
  <cp:lastModifiedBy>Oona</cp:lastModifiedBy>
  <dcterms:created xsi:type="dcterms:W3CDTF">2025-03-24T09:06:30Z</dcterms:created>
  <dcterms:modified xsi:type="dcterms:W3CDTF">2025-05-06T13:40:12Z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0x010100432488E3B6805443AB139CAC5483A4CF</vt:lpwstr>
  </property>
  <property fmtid="{D5CDD505-2E9C-101B-9397-08002B2CF9AE}" pid="3" name="MediaServiceImageTags">
    <vt:lpwstr/>
  </property>
</Properties>
</file>